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496" windowHeight="7752" tabRatio="722" firstSheet="1" activeTab="3"/>
  </bookViews>
  <sheets>
    <sheet name="Hoja5" sheetId="17" state="hidden" r:id="rId1"/>
    <sheet name="SCH" sheetId="19" r:id="rId2"/>
    <sheet name="EM" sheetId="18" r:id="rId3"/>
    <sheet name="Med RN" sheetId="10" r:id="rId4"/>
    <sheet name="COPO" sheetId="13" r:id="rId5"/>
    <sheet name="Hoja1" sheetId="8" state="hidden" r:id="rId6"/>
  </sheets>
  <externalReferences>
    <externalReference r:id="rId7"/>
  </externalReferences>
  <definedNames>
    <definedName name="_xlnm.Print_Area" localSheetId="4">COPO!$B$5:$G$23</definedName>
    <definedName name="_xlnm.Print_Area" localSheetId="2">EM!$B$4:$G$11</definedName>
    <definedName name="_xlnm.Print_Area" localSheetId="3">'Med RN'!$B$4:$G$17</definedName>
    <definedName name="_xlnm.Print_Area" localSheetId="1">SCH!$B$4:$G$12</definedName>
  </definedNames>
  <calcPr calcId="144525"/>
</workbook>
</file>

<file path=xl/calcChain.xml><?xml version="1.0" encoding="utf-8"?>
<calcChain xmlns="http://schemas.openxmlformats.org/spreadsheetml/2006/main">
  <c r="G10" i="10" l="1"/>
  <c r="G11" i="18" l="1"/>
  <c r="G10" i="18"/>
  <c r="G9" i="18"/>
  <c r="G8" i="18"/>
  <c r="G7" i="18"/>
  <c r="G12" i="18" s="1"/>
  <c r="G6" i="18"/>
  <c r="G12" i="19"/>
  <c r="G11" i="19"/>
  <c r="G10" i="19"/>
  <c r="G9" i="19"/>
  <c r="G8" i="19"/>
  <c r="G7" i="19"/>
  <c r="G6" i="19"/>
  <c r="G13" i="19" s="1"/>
  <c r="M9" i="18"/>
  <c r="M10" i="18" s="1"/>
  <c r="K8" i="18"/>
  <c r="K10" i="18" s="1"/>
  <c r="K11" i="18" s="1"/>
  <c r="I6" i="18"/>
  <c r="I7" i="18" s="1"/>
  <c r="G20" i="13" l="1"/>
  <c r="C14" i="17" l="1"/>
  <c r="C16" i="17" s="1"/>
  <c r="C11" i="17"/>
  <c r="G23" i="13" l="1"/>
  <c r="G15" i="13"/>
  <c r="G17" i="10" l="1"/>
  <c r="D10" i="10"/>
  <c r="D6" i="10"/>
  <c r="D8" i="10" s="1"/>
  <c r="D9" i="10" s="1"/>
  <c r="G9" i="10" s="1"/>
  <c r="D7" i="10"/>
  <c r="G6" i="10" l="1"/>
  <c r="G7" i="10"/>
  <c r="G18" i="13"/>
  <c r="G19" i="13"/>
  <c r="G17" i="13"/>
  <c r="G9" i="13"/>
  <c r="G21" i="13"/>
  <c r="G16" i="13"/>
  <c r="G10" i="13"/>
  <c r="G8" i="13"/>
  <c r="G7" i="13"/>
  <c r="G22" i="13" l="1"/>
  <c r="G8" i="10"/>
  <c r="G12" i="13"/>
  <c r="G11" i="13"/>
  <c r="G24" i="13" s="1"/>
  <c r="G14" i="13"/>
  <c r="G13" i="13"/>
  <c r="B15" i="17" l="1"/>
  <c r="C5" i="17"/>
  <c r="E5" i="17" s="1"/>
  <c r="C2" i="17"/>
  <c r="E2" i="17" s="1"/>
  <c r="C6" i="17" l="1"/>
  <c r="E6" i="17" s="1"/>
  <c r="B14" i="17" s="1"/>
  <c r="D14" i="17" s="1"/>
  <c r="E14" i="17" s="1"/>
  <c r="B16" i="17" l="1"/>
  <c r="D16" i="17" s="1"/>
  <c r="E16" i="17" s="1"/>
  <c r="D16" i="10"/>
  <c r="G16" i="10" s="1"/>
  <c r="D15" i="10"/>
  <c r="G15" i="10" s="1"/>
  <c r="D14" i="10"/>
  <c r="G14" i="10" s="1"/>
  <c r="D13" i="10"/>
  <c r="G13" i="10" s="1"/>
  <c r="D12" i="10"/>
  <c r="G12" i="10" s="1"/>
  <c r="D11" i="10"/>
  <c r="G18" i="10" l="1"/>
  <c r="G3" i="10"/>
  <c r="C4" i="17" s="1"/>
  <c r="E4" i="17" s="1"/>
  <c r="C3" i="17"/>
  <c r="E3" i="17" l="1"/>
  <c r="B11" i="17" s="1"/>
  <c r="D11" i="17" s="1"/>
  <c r="E11" i="17" s="1"/>
  <c r="C7" i="17"/>
  <c r="E7" i="17" s="1"/>
</calcChain>
</file>

<file path=xl/sharedStrings.xml><?xml version="1.0" encoding="utf-8"?>
<sst xmlns="http://schemas.openxmlformats.org/spreadsheetml/2006/main" count="193" uniqueCount="114">
  <si>
    <t>ITEMS</t>
  </si>
  <si>
    <t>Cantidad</t>
  </si>
  <si>
    <t>Unidad</t>
  </si>
  <si>
    <t>Ítems</t>
  </si>
  <si>
    <t>ARS Total</t>
  </si>
  <si>
    <t>ARS Unit</t>
  </si>
  <si>
    <t>$/unidad/día</t>
  </si>
  <si>
    <t>$/unidad/mes</t>
  </si>
  <si>
    <t>$/movimiento</t>
  </si>
  <si>
    <t>$/km recorrido</t>
  </si>
  <si>
    <t>Servicio provisión de Piletas Almacenadoras de Petróleo móviles “a demanda”. Item 2 de las Cláusulas Técnicas</t>
  </si>
  <si>
    <t>Cargo variable por km para el transporte de piletas. Item 4.2 de las Cláusulas Técnicas</t>
  </si>
  <si>
    <t>Servicio Mensual Camión de Vacío 35 m3 por 24 Hs - PRODUCCION. Item 5 de las Cláusulas Técnicas</t>
  </si>
  <si>
    <t>Servicio Mensual Camión de Prueba Hidráulica 9 m3 de lunes a viernes - PRODUCCION. Item 6 de las Cláusulas Técnicas</t>
  </si>
  <si>
    <t>Servicio Diario Camión de Vacío 25 m3 por 12 Hs – a requerimiento PRODUCCION. Item 7 de las Cláusulas Técnicas</t>
  </si>
  <si>
    <t>Servicio Diario Camión de Alto Vacío (Vactor). Item 9 de las Cláusulas Técnicas</t>
  </si>
  <si>
    <t>Cargo por movilización en DTM unidad con alta bomba de vacío (VACTOR). Item 10 de las Cláusulas Técnicas</t>
  </si>
  <si>
    <t>Cargo mensual de Contenedor 4 m3 con tapa.  Item 11 de las Cláusulas Técnicas</t>
  </si>
  <si>
    <t>Transporte de Contenedores. Item 12 de las Cláusulas Técnicas</t>
  </si>
  <si>
    <t>Servicio Provisión Mensual Piletas Almacenadoras de Petróleo fijas. Item 1 de las Cláusulas Técnicas</t>
  </si>
  <si>
    <t>Cargo Mensual Camión Portachupa.  Item 13 de las Cláusulas Técnicas</t>
  </si>
  <si>
    <t>Meses</t>
  </si>
  <si>
    <r>
      <t xml:space="preserve">Planilla de cotizacion Cargas Líquidas Medanito 36 meses - </t>
    </r>
    <r>
      <rPr>
        <b/>
        <sz val="12"/>
        <rFont val="Arial"/>
        <family val="2"/>
      </rPr>
      <t>Río Negro</t>
    </r>
  </si>
  <si>
    <t>Cargo fijo por montaje o desmontaje de piletas. Item 4.1 de las Cláusulas Técnicas</t>
  </si>
  <si>
    <t>WO Gas NQN</t>
  </si>
  <si>
    <t>Perfo Medanito</t>
  </si>
  <si>
    <t>Ensign 937</t>
  </si>
  <si>
    <t>8 meses</t>
  </si>
  <si>
    <t>01/01 - 15/05 y 01/08 - 15/11</t>
  </si>
  <si>
    <t>WO Medanito</t>
  </si>
  <si>
    <t>SAI 216</t>
  </si>
  <si>
    <t>12 meses</t>
  </si>
  <si>
    <t>SAI 257</t>
  </si>
  <si>
    <t>5,5 meses</t>
  </si>
  <si>
    <t>01/01 - 30/05</t>
  </si>
  <si>
    <t>Perfo SCH/EM</t>
  </si>
  <si>
    <t>H 104</t>
  </si>
  <si>
    <t>9 meses</t>
  </si>
  <si>
    <t>01/01 - 30/06 y 01/09 - 30/11</t>
  </si>
  <si>
    <t>Rental</t>
  </si>
  <si>
    <t>11 meses</t>
  </si>
  <si>
    <t>01/01 - 30/09 y 15/10 - 15/12</t>
  </si>
  <si>
    <t>Equipo a contratar</t>
  </si>
  <si>
    <t>01/01 - 30/06 y 15/09 - 15/12</t>
  </si>
  <si>
    <t>Planilla de cotizacion Cargas Líquidas CoPo 36 meses</t>
  </si>
  <si>
    <t>Día</t>
  </si>
  <si>
    <t>Mes</t>
  </si>
  <si>
    <t>Cargo Diario por provisión de pileta metálica 70 m3 útiles. Item 17 de las Cláusulas Técnicas de Medanito e Item 15 de las Claúsulas Técnicas de Gas NQN</t>
  </si>
  <si>
    <t>Cargo por montaje y desmontaje de piletas. Item 18 de las Cláusulas Técnicas de Medanito e Item 16 de las Claúsulas Técnicas de Gas NQN</t>
  </si>
  <si>
    <t xml:space="preserve">UN </t>
  </si>
  <si>
    <t>Cargo por km para el transporte de piletas. Item 19 de las Cláusulas Técnicas de Medanito e Item 17 de las Claúsulas Técnicas de Gas NQN</t>
  </si>
  <si>
    <t>Km</t>
  </si>
  <si>
    <t>Cargo Diario Contenedor 4 m3. Item 20 de las Cláusulas Técnicas de Medanito e Item 18 de las Claúsulas Técnicas de Gas NQN</t>
  </si>
  <si>
    <t>Cargo Diário Contenedor 4 m3 con tapa.  Item 21 de las Cláusulas Técnicas de Medanito e Item 19 de las Claúsulas Técnicas de Gas NQN</t>
  </si>
  <si>
    <t>Cargo movilización por Contenedor por Km. – A requerimiento. Item 22 de las Cláusulas Técnicas de Medanito e Item 20 de las Claúsulas Técnicas de Gas NQN</t>
  </si>
  <si>
    <t>Cargo Mensual Camión Portachupa. Item 23 de las Cláusulas Técnicas de Medanito e Item 21 de las Claúsulas Técnicas de Gas NQN</t>
  </si>
  <si>
    <t>Servicio Mensual camión cisterna 9 m³ con equipo de vacío por 24 Hs. Item 9 de las Claúsulas Técnicas de Gas NQN</t>
  </si>
  <si>
    <t>Cargo Diario camión cisterna 9m³ con equipo de vacío por 24 Hs. – A requerimiento.  Item 10 de las Claúsulas Técnicas de Gas NQN</t>
  </si>
  <si>
    <t>Cargo Diario camión cisterna 9m³ con acoplado y equipo de vacío por 24 Hs. - A requerimiento.  Item 13 de las Claúsulas Técnicas de Gas NQN</t>
  </si>
  <si>
    <t xml:space="preserve"> Cargo por m3 por km de transporte de agua dulce acumulada. Item 14 de las Claúsulas Técnicas de Gas NQN</t>
  </si>
  <si>
    <t>m3/km</t>
  </si>
  <si>
    <t>Servicio de riego de camino - cisterna de 35 m3 con equipo regador.  Item 22 de las Claúsulas Técnicas de Gas NQN</t>
  </si>
  <si>
    <r>
      <t xml:space="preserve">Servicio Diario Camión de Alto Vacío (Vactor). </t>
    </r>
    <r>
      <rPr>
        <sz val="10"/>
        <color rgb="FFFF0000"/>
        <rFont val="Arial"/>
        <family val="2"/>
      </rPr>
      <t>SIN ITEM EN CLÁUSULAS TÉCNICAS</t>
    </r>
  </si>
  <si>
    <r>
      <t xml:space="preserve">Cargo por movilización unidad con alta bomba de vacío (VACTOR). </t>
    </r>
    <r>
      <rPr>
        <sz val="10"/>
        <color rgb="FFFF0000"/>
        <rFont val="Arial"/>
        <family val="2"/>
      </rPr>
      <t>SIN ITEM EN CLÁUSULAS TÉCNICAS</t>
    </r>
  </si>
  <si>
    <t>UN</t>
  </si>
  <si>
    <t>Cargo Diario camión cisterna 9m³ con equipo de vacío por 12 Hs. A requerimiento. Item 13 de las Cláusulas Técnicas de Medanito</t>
  </si>
  <si>
    <t>Cargo Mensual camión con cisterna 35m³ por 24 Hs. Item 14 de las Cláusulas Técnicas de Medanito e Item 11 de las Claúsulas Técnicas de Gas NQN</t>
  </si>
  <si>
    <t>Cargo Diario camión con cisterna 35m³ por 24 Hs. Item 15 de las Cláusulas Técnicas de Medanito e Item 12 de las Claúsulas Técnicas de Gas NQN</t>
  </si>
  <si>
    <t>SCH</t>
  </si>
  <si>
    <t>EM</t>
  </si>
  <si>
    <t>Med RN</t>
  </si>
  <si>
    <t>Med LP</t>
  </si>
  <si>
    <t>COPO</t>
  </si>
  <si>
    <t>Total</t>
  </si>
  <si>
    <t>$ en 3 años</t>
  </si>
  <si>
    <t>USD por año</t>
  </si>
  <si>
    <t>Subtotal OPEX Cargas Liq</t>
  </si>
  <si>
    <t>Subtotal según calculo</t>
  </si>
  <si>
    <t>Subtotal CAPEX</t>
  </si>
  <si>
    <t>Subtotal CAPEX según calculo</t>
  </si>
  <si>
    <t>piletas y contenedores no contemplados en cálculo</t>
  </si>
  <si>
    <t>Dif</t>
  </si>
  <si>
    <t>Piletas y Contenedores</t>
  </si>
  <si>
    <t>Ajustado</t>
  </si>
  <si>
    <r>
      <t>Notas:</t>
    </r>
    <r>
      <rPr>
        <i/>
        <sz val="12"/>
        <rFont val="Arial"/>
        <family val="2"/>
      </rPr>
      <t xml:space="preserve"> </t>
    </r>
  </si>
  <si>
    <t>* Los precios indicados en la presente contendrán todos los impuestos y gravamenes a la fecha, exceptuandose el IVA.</t>
  </si>
  <si>
    <t>* Los precios deberán estar expresados en Pesos</t>
  </si>
  <si>
    <t>Objeto:</t>
  </si>
  <si>
    <t xml:space="preserve">N° Oportunidad: </t>
  </si>
  <si>
    <t xml:space="preserve">Oferente:    </t>
  </si>
  <si>
    <t>COMPLETAR NOMBRE DE LA EMPRESA</t>
  </si>
  <si>
    <t>Fecha:</t>
  </si>
  <si>
    <t>COMPLETAR</t>
  </si>
  <si>
    <t xml:space="preserve">SERVICIO de TRANSPORTE DE CARGAS LÍQUIDAS </t>
  </si>
  <si>
    <t xml:space="preserve">Planilla de cotizacion Cargas Líquidas El Mangrullo 36 meses - Neuquén </t>
  </si>
  <si>
    <t>Servicio Carga-Transporte-Descarga de Petróleo y Otros Hidrocarburos líquidos (PTG El Mangrullo - PTC RNQN). Item 1 de las Cláusulas Técnicas</t>
  </si>
  <si>
    <t>$/m3</t>
  </si>
  <si>
    <t>Servicio Diario camión cisterna 9m³ con equipo de vacío - Disponible 8 Hs (Exclusivo EMA) – a requerimiento. Item 2 de las Cláusulas Técnicas</t>
  </si>
  <si>
    <t>Servicio transporte de 10/20 m3 de agua dulce (no apta consumo humano) viajes hasta 10 kilómetros de distancia – A requerimiento. Item 3.1 de las Cláusulas Técnicas</t>
  </si>
  <si>
    <t>Servicio transporte de 10/20 m3 de agua dulce (no apta consumo humano) viajes mayores a 10 kilómetros y menores a 50kilómetros de distancia – A requerimiento. Item 3.2 de las Cláusulas Técnicas</t>
  </si>
  <si>
    <t>Servicio Diario Camión de Alto Vacío (Vactor). Item 4 de las Clausulas Tecnicas</t>
  </si>
  <si>
    <t>Cargo por movilización en DTM unidad con alta bomba de vacío (VACTOR). Item 5 de las Clausulas Tecnicas</t>
  </si>
  <si>
    <t>$/Km recorrido</t>
  </si>
  <si>
    <t>Planilla de cotizacion Cargas Líquidas Sierra Chata 36 meses - Neuquén</t>
  </si>
  <si>
    <t>Servicio Carga-Transporte-Descarga de Petróleo y Otros Hidrocarburos líquidos (PTG Sierra Chata - PTC Río Neuquén). Item 6 de las Cláusulas Técnicas</t>
  </si>
  <si>
    <t>Servicio Carga-Transporte-Descarga de Petróleo y Otros Hidrocarburos líquidos (PTG Sierra Chata - PTC Río Neuquén). Item X de las Cláusulas Técnicas. Servicio On Call</t>
  </si>
  <si>
    <t xml:space="preserve">Servicio Mensual camión cisterna 35m³ con equipo de vacío - Disponible 8 Hs. Item 7 de las Cláusulas Técnicas </t>
  </si>
  <si>
    <t xml:space="preserve">Servicio Mensual camión cisterna 35m³ con equipo de vacío - Horas Extras. Item X de las Cláusulas Técnicas </t>
  </si>
  <si>
    <t>$/hs</t>
  </si>
  <si>
    <t>Servicio transporte de 10/20 m3 de agua dulce (no apta consumo humano) hasta 100 kilómetros. Item 8 de las Clásuluas Técnicas</t>
  </si>
  <si>
    <t>Servicio Diario Camión de Alto Vacío (Vactor). SIN ITEM EN CLÁUSULAS TÉCNICAS</t>
  </si>
  <si>
    <t>Cargo por movilización en DTM unidad con alta bomba de vacío (VACTOR). SIN ITEM EN CLÁUSULAS TÉCNICAS</t>
  </si>
  <si>
    <t>$286,000,00</t>
  </si>
  <si>
    <t>Oil Addper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</si>
</sst>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_ &quot;$&quot;\ * #,##0_ ;_ &quot;$&quot;\ * \-#,##0_ ;_ &quot;$&quot;\ * &quot;-&quot;??_ ;_ @_ "/>
    <numFmt numFmtId="167" formatCode="_ * #,##0_ ;_ * \-#,##0_ ;_ * &quot;-&quot;??_ ;_ @_ "/>
  </numFmts>
  <fonts count="19" x14ac:knownFonts="1">
    <font>
      <sz val="10"/>
      <color theme="1"/>
      <name val="Trebuchet MS"/>
      <family val="2"/>
    </font>
    <font>
      <sz val="10"/>
      <color theme="1"/>
      <name val="Trebuchet MS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Trebuchet MS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Trebuchet MS"/>
      <family val="2"/>
    </font>
    <font>
      <b/>
      <sz val="12"/>
      <name val="Arial"/>
      <family val="2"/>
    </font>
    <font>
      <b/>
      <sz val="10"/>
      <color theme="1"/>
      <name val="Trebuchet MS"/>
      <family val="2"/>
    </font>
    <font>
      <sz val="10"/>
      <name val="Arial"/>
      <family val="2"/>
    </font>
    <font>
      <b/>
      <i/>
      <u/>
      <sz val="12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0" fillId="0" borderId="1" xfId="0" applyBorder="1"/>
    <xf numFmtId="0" fontId="0" fillId="4" borderId="1" xfId="0" applyFill="1" applyBorder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66" fontId="0" fillId="0" borderId="0" xfId="1" applyNumberFormat="1" applyFont="1"/>
    <xf numFmtId="166" fontId="0" fillId="0" borderId="0" xfId="0" applyNumberFormat="1" applyAlignment="1">
      <alignment vertical="center"/>
    </xf>
    <xf numFmtId="166" fontId="0" fillId="0" borderId="1" xfId="1" applyNumberFormat="1" applyFont="1" applyBorder="1"/>
    <xf numFmtId="166" fontId="0" fillId="0" borderId="1" xfId="0" applyNumberFormat="1" applyBorder="1"/>
    <xf numFmtId="0" fontId="0" fillId="0" borderId="0" xfId="0" applyAlignment="1">
      <alignment horizontal="center"/>
    </xf>
    <xf numFmtId="9" fontId="0" fillId="0" borderId="0" xfId="2" applyFont="1" applyAlignment="1">
      <alignment horizontal="center"/>
    </xf>
    <xf numFmtId="166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166" fontId="2" fillId="0" borderId="6" xfId="1" applyNumberFormat="1" applyFont="1" applyFill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3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horizontal="right" vertical="center"/>
    </xf>
    <xf numFmtId="14" fontId="14" fillId="0" borderId="14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166" fontId="15" fillId="0" borderId="0" xfId="0" applyNumberFormat="1" applyFont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167" fontId="13" fillId="0" borderId="1" xfId="5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 wrapText="1"/>
    </xf>
    <xf numFmtId="167" fontId="13" fillId="0" borderId="8" xfId="5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66" fontId="2" fillId="0" borderId="8" xfId="1" applyNumberFormat="1" applyFont="1" applyFill="1" applyBorder="1" applyAlignment="1">
      <alignment vertical="center"/>
    </xf>
    <xf numFmtId="166" fontId="2" fillId="0" borderId="15" xfId="1" applyNumberFormat="1" applyFont="1" applyFill="1" applyBorder="1" applyAlignment="1">
      <alignment vertical="center"/>
    </xf>
    <xf numFmtId="166" fontId="2" fillId="0" borderId="16" xfId="1" applyNumberFormat="1" applyFont="1" applyFill="1" applyBorder="1" applyAlignment="1">
      <alignment vertical="center"/>
    </xf>
    <xf numFmtId="166" fontId="2" fillId="0" borderId="17" xfId="1" applyNumberFormat="1" applyFont="1" applyFill="1" applyBorder="1" applyAlignment="1">
      <alignment vertical="center"/>
    </xf>
    <xf numFmtId="166" fontId="15" fillId="0" borderId="20" xfId="0" applyNumberFormat="1" applyFont="1" applyBorder="1" applyAlignment="1">
      <alignment vertical="center"/>
    </xf>
    <xf numFmtId="0" fontId="16" fillId="0" borderId="0" xfId="0" applyFont="1" applyFill="1" applyAlignment="1">
      <alignment vertical="center"/>
    </xf>
    <xf numFmtId="167" fontId="13" fillId="0" borderId="6" xfId="5" applyNumberFormat="1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166" fontId="0" fillId="0" borderId="20" xfId="0" applyNumberFormat="1" applyBorder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166" fontId="0" fillId="0" borderId="20" xfId="0" applyNumberForma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6" fontId="13" fillId="0" borderId="16" xfId="1" applyNumberFormat="1" applyFont="1" applyFill="1" applyBorder="1" applyAlignment="1">
      <alignment horizontal="right" vertical="center"/>
    </xf>
  </cellXfs>
  <cellStyles count="6">
    <cellStyle name="Millares" xfId="5" builtinId="3"/>
    <cellStyle name="Moneda" xfId="1" builtinId="4"/>
    <cellStyle name="Moneda 2" xfId="4"/>
    <cellStyle name="Normal" xfId="0" builtinId="0"/>
    <cellStyle name="Normal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archese/Dropbox/Petrolera%20Pampa/03%20-%20Cargas%20L&#237;quidas/PAMPA/Archivos%20finales/C&#225;lculos%20L&#237;nea%20Base%20inicial%20y%20ajustada%2016-11%20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álculos OPEX"/>
      <sheetName val="Bajada SAP"/>
      <sheetName val="Detalle LP"/>
      <sheetName val="Anexo Ahorros CAPEX "/>
    </sheetNames>
    <sheetDataSet>
      <sheetData sheetId="0">
        <row r="23">
          <cell r="M23">
            <v>0</v>
          </cell>
        </row>
        <row r="49">
          <cell r="M49">
            <v>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workbookViewId="0">
      <selection activeCell="E6" activeCellId="1" sqref="E2:E4 E6"/>
    </sheetView>
  </sheetViews>
  <sheetFormatPr baseColWidth="10" defaultRowHeight="14.4" x14ac:dyDescent="0.35"/>
  <cols>
    <col min="2" max="2" width="22.44140625" bestFit="1" customWidth="1"/>
    <col min="3" max="3" width="26.88671875" style="10" bestFit="1" customWidth="1"/>
    <col min="4" max="5" width="12.109375" bestFit="1" customWidth="1"/>
  </cols>
  <sheetData>
    <row r="1" spans="1:8" x14ac:dyDescent="0.35">
      <c r="C1" s="12" t="s">
        <v>74</v>
      </c>
      <c r="E1" s="6" t="s">
        <v>75</v>
      </c>
      <c r="G1">
        <v>15</v>
      </c>
      <c r="H1">
        <v>3</v>
      </c>
    </row>
    <row r="2" spans="1:8" x14ac:dyDescent="0.35">
      <c r="B2" s="6" t="s">
        <v>68</v>
      </c>
      <c r="C2" s="12" t="e">
        <f>+#REF!</f>
        <v>#REF!</v>
      </c>
      <c r="E2" s="12" t="e">
        <f>+C2/$G$1/$H$1</f>
        <v>#REF!</v>
      </c>
    </row>
    <row r="3" spans="1:8" x14ac:dyDescent="0.35">
      <c r="B3" s="6" t="s">
        <v>69</v>
      </c>
      <c r="C3" s="12" t="e">
        <f>+#REF!</f>
        <v>#REF!</v>
      </c>
      <c r="E3" s="12" t="e">
        <f t="shared" ref="E3:E7" si="0">+C3/$G$1/$H$1</f>
        <v>#REF!</v>
      </c>
    </row>
    <row r="4" spans="1:8" x14ac:dyDescent="0.35">
      <c r="B4" s="6" t="s">
        <v>70</v>
      </c>
      <c r="C4" s="12">
        <f>+'Med RN'!G3</f>
        <v>0</v>
      </c>
      <c r="E4" s="12">
        <f t="shared" si="0"/>
        <v>0</v>
      </c>
    </row>
    <row r="5" spans="1:8" x14ac:dyDescent="0.35">
      <c r="B5" s="6" t="s">
        <v>71</v>
      </c>
      <c r="C5" s="12" t="e">
        <f>+#REF!</f>
        <v>#REF!</v>
      </c>
      <c r="E5" s="12" t="e">
        <f t="shared" si="0"/>
        <v>#REF!</v>
      </c>
    </row>
    <row r="6" spans="1:8" x14ac:dyDescent="0.35">
      <c r="B6" s="6" t="s">
        <v>72</v>
      </c>
      <c r="C6" s="12">
        <f>+COPO!G4</f>
        <v>0</v>
      </c>
      <c r="E6" s="12">
        <f t="shared" si="0"/>
        <v>0</v>
      </c>
    </row>
    <row r="7" spans="1:8" x14ac:dyDescent="0.35">
      <c r="B7" s="6" t="s">
        <v>73</v>
      </c>
      <c r="C7" s="12" t="e">
        <f>+SUM(C2:C6)</f>
        <v>#REF!</v>
      </c>
      <c r="E7" s="12" t="e">
        <f t="shared" si="0"/>
        <v>#REF!</v>
      </c>
    </row>
    <row r="10" spans="1:8" x14ac:dyDescent="0.35">
      <c r="B10" s="6" t="s">
        <v>76</v>
      </c>
      <c r="C10" s="12" t="s">
        <v>77</v>
      </c>
      <c r="D10" s="6" t="s">
        <v>81</v>
      </c>
      <c r="E10" s="14"/>
    </row>
    <row r="11" spans="1:8" x14ac:dyDescent="0.35">
      <c r="B11" s="13" t="e">
        <f>+SUM(E2:E5)</f>
        <v>#REF!</v>
      </c>
      <c r="C11" s="12">
        <f>+[1]Resumen!$M$23</f>
        <v>0</v>
      </c>
      <c r="D11" s="13" t="e">
        <f>+C11-B11</f>
        <v>#REF!</v>
      </c>
      <c r="E11" s="15" t="e">
        <f>+D11/B11</f>
        <v>#REF!</v>
      </c>
    </row>
    <row r="12" spans="1:8" x14ac:dyDescent="0.35">
      <c r="E12" s="15"/>
    </row>
    <row r="13" spans="1:8" x14ac:dyDescent="0.35">
      <c r="B13" s="6" t="s">
        <v>78</v>
      </c>
      <c r="C13" s="12" t="s">
        <v>79</v>
      </c>
      <c r="D13" s="6" t="s">
        <v>81</v>
      </c>
      <c r="E13" s="14"/>
    </row>
    <row r="14" spans="1:8" x14ac:dyDescent="0.35">
      <c r="B14" s="13">
        <f>+E6</f>
        <v>0</v>
      </c>
      <c r="C14" s="12">
        <f>+[1]Resumen!$M$49</f>
        <v>0</v>
      </c>
      <c r="D14" s="13">
        <f>+B14-C14</f>
        <v>0</v>
      </c>
      <c r="E14" s="15" t="e">
        <f>+D14/B14</f>
        <v>#DIV/0!</v>
      </c>
    </row>
    <row r="15" spans="1:8" x14ac:dyDescent="0.35">
      <c r="A15" t="s">
        <v>82</v>
      </c>
      <c r="B15" s="10">
        <f>(-COPO!G10-COPO!G11-COPO!G12-COPO!G13-COPO!G14-COPO!G15)/15/3</f>
        <v>0</v>
      </c>
      <c r="E15" s="14"/>
    </row>
    <row r="16" spans="1:8" x14ac:dyDescent="0.35">
      <c r="A16" t="s">
        <v>83</v>
      </c>
      <c r="B16" s="16">
        <f>+B14+B15</f>
        <v>0</v>
      </c>
      <c r="C16" s="10">
        <f>+C14</f>
        <v>0</v>
      </c>
      <c r="D16" s="16">
        <f>+B16-C16</f>
        <v>0</v>
      </c>
      <c r="E16" s="15" t="e">
        <f>+D16/B16</f>
        <v>#DIV/0!</v>
      </c>
      <c r="F16" t="s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8"/>
  <sheetViews>
    <sheetView showGridLines="0" zoomScale="80" zoomScaleNormal="80" workbookViewId="0">
      <selection activeCell="C18" sqref="C18"/>
    </sheetView>
  </sheetViews>
  <sheetFormatPr baseColWidth="10" defaultColWidth="11.44140625" defaultRowHeight="13.2" x14ac:dyDescent="0.35"/>
  <cols>
    <col min="1" max="1" width="2.33203125" style="44" customWidth="1"/>
    <col min="2" max="2" width="10.5546875" style="44" customWidth="1"/>
    <col min="3" max="3" width="64.33203125" style="44" customWidth="1"/>
    <col min="4" max="4" width="12" style="45" bestFit="1" customWidth="1"/>
    <col min="5" max="5" width="15.109375" style="45" customWidth="1"/>
    <col min="6" max="6" width="12.33203125" style="44" bestFit="1" customWidth="1"/>
    <col min="7" max="7" width="16" style="44" bestFit="1" customWidth="1"/>
    <col min="8" max="10" width="11.44140625" style="44"/>
    <col min="11" max="11" width="13.33203125" style="44" bestFit="1" customWidth="1"/>
    <col min="12" max="16384" width="11.44140625" style="44"/>
  </cols>
  <sheetData>
    <row r="1" spans="2:12" ht="14.4" x14ac:dyDescent="0.35">
      <c r="B1" s="32" t="s">
        <v>87</v>
      </c>
      <c r="C1" s="33" t="s">
        <v>93</v>
      </c>
      <c r="D1" s="34"/>
      <c r="E1" s="42"/>
      <c r="F1" s="35" t="s">
        <v>88</v>
      </c>
      <c r="G1" s="36"/>
    </row>
    <row r="2" spans="2:12" ht="14.4" x14ac:dyDescent="0.35">
      <c r="B2" s="37" t="s">
        <v>89</v>
      </c>
      <c r="C2" s="38" t="s">
        <v>90</v>
      </c>
      <c r="D2" s="39"/>
      <c r="E2" s="43"/>
      <c r="F2" s="40" t="s">
        <v>91</v>
      </c>
      <c r="G2" s="41" t="s">
        <v>92</v>
      </c>
    </row>
    <row r="3" spans="2:12" ht="13.8" thickBot="1" x14ac:dyDescent="0.4">
      <c r="G3" s="46"/>
    </row>
    <row r="4" spans="2:12" ht="15.6" x14ac:dyDescent="0.35">
      <c r="B4" s="87" t="s">
        <v>103</v>
      </c>
      <c r="C4" s="88"/>
      <c r="D4" s="88"/>
      <c r="E4" s="88"/>
      <c r="F4" s="88"/>
      <c r="G4" s="88"/>
    </row>
    <row r="5" spans="2:12" ht="14.4" thickBot="1" x14ac:dyDescent="0.4">
      <c r="B5" s="64" t="s">
        <v>3</v>
      </c>
      <c r="C5" s="65" t="s">
        <v>0</v>
      </c>
      <c r="D5" s="65" t="s">
        <v>1</v>
      </c>
      <c r="E5" s="65" t="s">
        <v>2</v>
      </c>
      <c r="F5" s="65" t="s">
        <v>5</v>
      </c>
      <c r="G5" s="66" t="s">
        <v>4</v>
      </c>
      <c r="H5" s="56"/>
      <c r="I5" s="57"/>
      <c r="J5" s="56"/>
      <c r="K5" s="58"/>
      <c r="L5" s="58"/>
    </row>
    <row r="6" spans="2:12" s="47" customFormat="1" ht="39.6" x14ac:dyDescent="0.35">
      <c r="B6" s="67">
        <v>1</v>
      </c>
      <c r="C6" s="68" t="s">
        <v>104</v>
      </c>
      <c r="D6" s="69">
        <v>31680</v>
      </c>
      <c r="E6" s="70" t="s">
        <v>96</v>
      </c>
      <c r="F6" s="71"/>
      <c r="G6" s="72">
        <f>F6*D6</f>
        <v>0</v>
      </c>
      <c r="H6" s="56"/>
      <c r="I6" s="57"/>
      <c r="J6" s="56"/>
      <c r="K6" s="58"/>
      <c r="L6" s="58"/>
    </row>
    <row r="7" spans="2:12" s="47" customFormat="1" ht="39.6" x14ac:dyDescent="0.35">
      <c r="B7" s="22">
        <v>2</v>
      </c>
      <c r="C7" s="18" t="s">
        <v>105</v>
      </c>
      <c r="D7" s="59">
        <v>8640</v>
      </c>
      <c r="E7" s="17" t="s">
        <v>96</v>
      </c>
      <c r="F7" s="20"/>
      <c r="G7" s="73">
        <f t="shared" ref="G7:G12" si="0">F7*D7</f>
        <v>0</v>
      </c>
      <c r="H7" s="56"/>
      <c r="I7" s="57"/>
      <c r="J7" s="56"/>
      <c r="K7" s="58"/>
      <c r="L7" s="58"/>
    </row>
    <row r="8" spans="2:12" s="47" customFormat="1" ht="26.4" x14ac:dyDescent="0.35">
      <c r="B8" s="22">
        <v>3</v>
      </c>
      <c r="C8" s="18" t="s">
        <v>106</v>
      </c>
      <c r="D8" s="60">
        <v>36</v>
      </c>
      <c r="E8" s="17" t="s">
        <v>7</v>
      </c>
      <c r="F8" s="20"/>
      <c r="G8" s="73">
        <f t="shared" si="0"/>
        <v>0</v>
      </c>
      <c r="H8" s="56"/>
      <c r="I8" s="57"/>
      <c r="J8" s="56"/>
      <c r="K8" s="58"/>
      <c r="L8" s="58"/>
    </row>
    <row r="9" spans="2:12" s="47" customFormat="1" ht="26.4" x14ac:dyDescent="0.35">
      <c r="B9" s="22">
        <v>4</v>
      </c>
      <c r="C9" s="18" t="s">
        <v>107</v>
      </c>
      <c r="D9" s="61">
        <v>1152</v>
      </c>
      <c r="E9" s="17" t="s">
        <v>108</v>
      </c>
      <c r="F9" s="20"/>
      <c r="G9" s="73">
        <f t="shared" si="0"/>
        <v>0</v>
      </c>
      <c r="H9" s="56"/>
      <c r="I9" s="57"/>
      <c r="J9" s="56"/>
      <c r="K9" s="58"/>
      <c r="L9" s="58"/>
    </row>
    <row r="10" spans="2:12" s="47" customFormat="1" ht="26.4" x14ac:dyDescent="0.35">
      <c r="B10" s="22">
        <v>5</v>
      </c>
      <c r="C10" s="18" t="s">
        <v>109</v>
      </c>
      <c r="D10" s="60">
        <v>8640</v>
      </c>
      <c r="E10" s="17" t="s">
        <v>96</v>
      </c>
      <c r="F10" s="20"/>
      <c r="G10" s="73">
        <f t="shared" si="0"/>
        <v>0</v>
      </c>
      <c r="H10" s="56"/>
      <c r="I10" s="57"/>
      <c r="J10" s="56"/>
      <c r="K10" s="58"/>
      <c r="L10" s="58"/>
    </row>
    <row r="11" spans="2:12" s="47" customFormat="1" ht="26.4" x14ac:dyDescent="0.35">
      <c r="B11" s="22">
        <v>6</v>
      </c>
      <c r="C11" s="18" t="s">
        <v>110</v>
      </c>
      <c r="D11" s="60">
        <v>42</v>
      </c>
      <c r="E11" s="17" t="s">
        <v>6</v>
      </c>
      <c r="F11" s="20"/>
      <c r="G11" s="73">
        <f t="shared" si="0"/>
        <v>0</v>
      </c>
      <c r="H11" s="56"/>
      <c r="I11" s="57"/>
      <c r="J11" s="56"/>
      <c r="K11" s="58"/>
      <c r="L11" s="58"/>
    </row>
    <row r="12" spans="2:12" s="47" customFormat="1" ht="27" thickBot="1" x14ac:dyDescent="0.4">
      <c r="B12" s="25">
        <v>7</v>
      </c>
      <c r="C12" s="26" t="s">
        <v>111</v>
      </c>
      <c r="D12" s="62">
        <v>2940</v>
      </c>
      <c r="E12" s="63" t="s">
        <v>102</v>
      </c>
      <c r="F12" s="29"/>
      <c r="G12" s="74">
        <f t="shared" si="0"/>
        <v>0</v>
      </c>
      <c r="H12" s="56"/>
      <c r="I12" s="57"/>
      <c r="J12" s="56"/>
      <c r="K12" s="58"/>
      <c r="L12" s="58"/>
    </row>
    <row r="13" spans="2:12" ht="15.75" customHeight="1" thickBot="1" x14ac:dyDescent="0.4">
      <c r="G13" s="75">
        <f>SUM(G6:G12)</f>
        <v>0</v>
      </c>
    </row>
    <row r="15" spans="2:12" x14ac:dyDescent="0.35">
      <c r="D15" s="45" t="s">
        <v>21</v>
      </c>
      <c r="E15" s="45">
        <v>36</v>
      </c>
    </row>
    <row r="16" spans="2:12" ht="15.6" x14ac:dyDescent="0.3">
      <c r="B16" s="30" t="s">
        <v>84</v>
      </c>
      <c r="C16" s="2"/>
      <c r="D16" s="2"/>
      <c r="E16" s="1"/>
      <c r="F16" s="1"/>
      <c r="G16" s="8"/>
    </row>
    <row r="17" spans="2:7" ht="15.6" x14ac:dyDescent="0.3">
      <c r="B17" s="31" t="s">
        <v>85</v>
      </c>
      <c r="C17" s="2"/>
      <c r="D17" s="2"/>
      <c r="E17" s="1"/>
      <c r="F17" s="1"/>
      <c r="G17" s="8"/>
    </row>
    <row r="18" spans="2:7" ht="15.6" x14ac:dyDescent="0.3">
      <c r="B18" s="31" t="s">
        <v>86</v>
      </c>
      <c r="C18" s="2"/>
      <c r="D18" s="2"/>
      <c r="E18" s="1"/>
      <c r="F18" s="1"/>
      <c r="G18" s="8"/>
    </row>
  </sheetData>
  <mergeCells count="1">
    <mergeCell ref="B4:G4"/>
  </mergeCells>
  <pageMargins left="0" right="0" top="0.15748031496062992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7"/>
  <sheetViews>
    <sheetView showGridLines="0" topLeftCell="B1" zoomScale="80" zoomScaleNormal="80" workbookViewId="0">
      <selection activeCell="E23" sqref="E23"/>
    </sheetView>
  </sheetViews>
  <sheetFormatPr baseColWidth="10" defaultColWidth="11.44140625" defaultRowHeight="13.2" x14ac:dyDescent="0.35"/>
  <cols>
    <col min="1" max="1" width="2.33203125" style="44" customWidth="1"/>
    <col min="2" max="2" width="10" style="44" customWidth="1"/>
    <col min="3" max="3" width="70.109375" style="44" customWidth="1"/>
    <col min="4" max="4" width="12" style="45" bestFit="1" customWidth="1"/>
    <col min="5" max="5" width="15.109375" style="45" customWidth="1"/>
    <col min="6" max="6" width="10" style="44" customWidth="1"/>
    <col min="7" max="7" width="14.5546875" style="44" bestFit="1" customWidth="1"/>
    <col min="8" max="8" width="49" style="47" customWidth="1"/>
    <col min="9" max="9" width="44.88671875" style="48" bestFit="1" customWidth="1"/>
    <col min="10" max="12" width="11.44140625" style="48"/>
    <col min="13" max="13" width="13.33203125" style="48" bestFit="1" customWidth="1"/>
    <col min="14" max="16" width="11.44140625" style="48"/>
    <col min="17" max="16384" width="11.44140625" style="44"/>
  </cols>
  <sheetData>
    <row r="1" spans="2:18" ht="14.4" x14ac:dyDescent="0.35">
      <c r="B1" s="32" t="s">
        <v>87</v>
      </c>
      <c r="C1" s="33" t="s">
        <v>93</v>
      </c>
      <c r="D1" s="34"/>
      <c r="E1" s="42"/>
      <c r="F1" s="35" t="s">
        <v>88</v>
      </c>
      <c r="G1" s="36"/>
    </row>
    <row r="2" spans="2:18" ht="14.4" x14ac:dyDescent="0.35">
      <c r="B2" s="37" t="s">
        <v>89</v>
      </c>
      <c r="C2" s="38" t="s">
        <v>90</v>
      </c>
      <c r="D2" s="39"/>
      <c r="E2" s="43"/>
      <c r="F2" s="40" t="s">
        <v>91</v>
      </c>
      <c r="G2" s="41" t="s">
        <v>92</v>
      </c>
    </row>
    <row r="3" spans="2:18" ht="13.8" thickBot="1" x14ac:dyDescent="0.4">
      <c r="G3" s="46"/>
    </row>
    <row r="4" spans="2:18" x14ac:dyDescent="0.35">
      <c r="B4" s="89" t="s">
        <v>94</v>
      </c>
      <c r="C4" s="90"/>
      <c r="D4" s="90"/>
      <c r="E4" s="90"/>
      <c r="F4" s="90"/>
      <c r="G4" s="90"/>
      <c r="H4" s="49"/>
    </row>
    <row r="5" spans="2:18" ht="13.8" thickBot="1" x14ac:dyDescent="0.4">
      <c r="B5" s="78" t="s">
        <v>3</v>
      </c>
      <c r="C5" s="79" t="s">
        <v>0</v>
      </c>
      <c r="D5" s="79" t="s">
        <v>1</v>
      </c>
      <c r="E5" s="79" t="s">
        <v>2</v>
      </c>
      <c r="F5" s="79" t="s">
        <v>5</v>
      </c>
      <c r="G5" s="80" t="s">
        <v>4</v>
      </c>
      <c r="H5" s="50"/>
      <c r="I5" s="51"/>
      <c r="J5" s="52"/>
      <c r="K5" s="53"/>
      <c r="L5" s="52"/>
      <c r="M5" s="51"/>
      <c r="N5" s="51"/>
    </row>
    <row r="6" spans="2:18" s="76" customFormat="1" ht="26.4" x14ac:dyDescent="0.35">
      <c r="B6" s="67">
        <v>1</v>
      </c>
      <c r="C6" s="68" t="s">
        <v>95</v>
      </c>
      <c r="D6" s="69">
        <v>25920</v>
      </c>
      <c r="E6" s="70" t="s">
        <v>96</v>
      </c>
      <c r="F6" s="71"/>
      <c r="G6" s="72">
        <f>F6*D6</f>
        <v>0</v>
      </c>
      <c r="H6" s="54"/>
      <c r="I6" s="51">
        <f>9*30</f>
        <v>270</v>
      </c>
      <c r="J6" s="52"/>
      <c r="K6" s="53"/>
      <c r="L6" s="52"/>
      <c r="M6" s="51"/>
      <c r="N6" s="51"/>
      <c r="Q6" s="47"/>
      <c r="R6" s="47"/>
    </row>
    <row r="7" spans="2:18" s="76" customFormat="1" ht="26.4" x14ac:dyDescent="0.35">
      <c r="B7" s="22">
        <v>2</v>
      </c>
      <c r="C7" s="18" t="s">
        <v>97</v>
      </c>
      <c r="D7" s="59">
        <v>144</v>
      </c>
      <c r="E7" s="17" t="s">
        <v>6</v>
      </c>
      <c r="F7" s="20"/>
      <c r="G7" s="73">
        <f t="shared" ref="G7:G11" si="0">F7*D7</f>
        <v>0</v>
      </c>
      <c r="H7" s="54"/>
      <c r="I7" s="51">
        <f>+I6/4</f>
        <v>67.5</v>
      </c>
      <c r="J7" s="52"/>
      <c r="K7" s="53"/>
      <c r="L7" s="52"/>
      <c r="M7" s="51"/>
      <c r="N7" s="51"/>
      <c r="Q7" s="47"/>
      <c r="R7" s="47"/>
    </row>
    <row r="8" spans="2:18" s="76" customFormat="1" ht="39.6" x14ac:dyDescent="0.35">
      <c r="B8" s="22">
        <v>3</v>
      </c>
      <c r="C8" s="18" t="s">
        <v>98</v>
      </c>
      <c r="D8" s="59">
        <v>5760</v>
      </c>
      <c r="E8" s="17" t="s">
        <v>96</v>
      </c>
      <c r="F8" s="20"/>
      <c r="G8" s="73">
        <f t="shared" si="0"/>
        <v>0</v>
      </c>
      <c r="H8" s="54"/>
      <c r="I8" s="51"/>
      <c r="J8" s="52"/>
      <c r="K8" s="53">
        <f>20/2000000</f>
        <v>1.0000000000000001E-5</v>
      </c>
      <c r="L8" s="52"/>
      <c r="M8" s="51">
        <v>614</v>
      </c>
      <c r="N8" s="51"/>
      <c r="Q8" s="47"/>
      <c r="R8" s="47"/>
    </row>
    <row r="9" spans="2:18" s="76" customFormat="1" ht="39.6" x14ac:dyDescent="0.35">
      <c r="B9" s="22">
        <v>4</v>
      </c>
      <c r="C9" s="18" t="s">
        <v>99</v>
      </c>
      <c r="D9" s="59">
        <v>17280</v>
      </c>
      <c r="E9" s="17" t="s">
        <v>96</v>
      </c>
      <c r="F9" s="20"/>
      <c r="G9" s="73">
        <f t="shared" si="0"/>
        <v>0</v>
      </c>
      <c r="H9" s="54"/>
      <c r="I9" s="51"/>
      <c r="J9" s="52"/>
      <c r="K9" s="53">
        <v>2500000</v>
      </c>
      <c r="L9" s="52"/>
      <c r="M9" s="51">
        <f>+M8/4</f>
        <v>153.5</v>
      </c>
      <c r="N9" s="51"/>
      <c r="Q9" s="47"/>
      <c r="R9" s="47"/>
    </row>
    <row r="10" spans="2:18" s="76" customFormat="1" x14ac:dyDescent="0.35">
      <c r="B10" s="22">
        <v>5</v>
      </c>
      <c r="C10" s="18" t="s">
        <v>100</v>
      </c>
      <c r="D10" s="59">
        <v>18</v>
      </c>
      <c r="E10" s="17" t="s">
        <v>6</v>
      </c>
      <c r="F10" s="20"/>
      <c r="G10" s="73">
        <f t="shared" si="0"/>
        <v>0</v>
      </c>
      <c r="H10" s="54"/>
      <c r="I10" s="51"/>
      <c r="J10" s="52"/>
      <c r="K10" s="53">
        <f>+K9*K8</f>
        <v>25.000000000000004</v>
      </c>
      <c r="L10" s="52"/>
      <c r="M10" s="51">
        <f>+M9/4</f>
        <v>38.375</v>
      </c>
      <c r="N10" s="51"/>
      <c r="Q10" s="47"/>
      <c r="R10" s="47"/>
    </row>
    <row r="11" spans="2:18" s="76" customFormat="1" ht="27" thickBot="1" x14ac:dyDescent="0.4">
      <c r="B11" s="25">
        <v>6</v>
      </c>
      <c r="C11" s="26" t="s">
        <v>101</v>
      </c>
      <c r="D11" s="77">
        <v>900</v>
      </c>
      <c r="E11" s="63" t="s">
        <v>102</v>
      </c>
      <c r="F11" s="29"/>
      <c r="G11" s="74">
        <f t="shared" si="0"/>
        <v>0</v>
      </c>
      <c r="H11" s="54"/>
      <c r="I11" s="51"/>
      <c r="J11" s="52"/>
      <c r="K11" s="53">
        <f>+K10*7</f>
        <v>175.00000000000003</v>
      </c>
      <c r="L11" s="52"/>
      <c r="M11" s="51"/>
      <c r="N11" s="51"/>
      <c r="Q11" s="47"/>
      <c r="R11" s="47"/>
    </row>
    <row r="12" spans="2:18" ht="13.8" thickBot="1" x14ac:dyDescent="0.4">
      <c r="D12" s="55"/>
      <c r="G12" s="75">
        <f>SUM(G6:G11)</f>
        <v>0</v>
      </c>
    </row>
    <row r="13" spans="2:18" x14ac:dyDescent="0.35">
      <c r="D13" s="45" t="s">
        <v>21</v>
      </c>
      <c r="E13" s="45">
        <v>36</v>
      </c>
    </row>
    <row r="15" spans="2:18" ht="15.6" x14ac:dyDescent="0.3">
      <c r="B15" s="30" t="s">
        <v>84</v>
      </c>
      <c r="D15" s="2"/>
      <c r="E15" s="2"/>
      <c r="F15" s="1"/>
      <c r="G15" s="1"/>
      <c r="H15" s="8"/>
    </row>
    <row r="16" spans="2:18" ht="15.6" x14ac:dyDescent="0.3">
      <c r="B16" s="31" t="s">
        <v>85</v>
      </c>
      <c r="D16" s="2"/>
      <c r="E16" s="2"/>
      <c r="F16" s="1"/>
      <c r="G16" s="1"/>
      <c r="H16" s="8"/>
    </row>
    <row r="17" spans="2:8" ht="15.6" x14ac:dyDescent="0.3">
      <c r="B17" s="31" t="s">
        <v>86</v>
      </c>
      <c r="D17" s="2"/>
      <c r="E17" s="2"/>
      <c r="F17" s="1"/>
      <c r="G17" s="1"/>
      <c r="H17" s="8"/>
    </row>
  </sheetData>
  <mergeCells count="1">
    <mergeCell ref="B4:G4"/>
  </mergeCells>
  <pageMargins left="0" right="0" top="0.15748031496062992" bottom="0.15748031496062992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2"/>
  <sheetViews>
    <sheetView showGridLines="0" tabSelected="1" zoomScale="80" zoomScaleNormal="80" workbookViewId="0">
      <selection activeCell="J14" sqref="J14"/>
    </sheetView>
  </sheetViews>
  <sheetFormatPr baseColWidth="10" defaultColWidth="11.44140625" defaultRowHeight="14.4" x14ac:dyDescent="0.35"/>
  <cols>
    <col min="1" max="1" width="2.33203125" style="8" customWidth="1"/>
    <col min="2" max="2" width="12.109375" style="1" customWidth="1"/>
    <col min="3" max="3" width="65.88671875" style="1" customWidth="1"/>
    <col min="4" max="4" width="10.33203125" style="2" bestFit="1" customWidth="1"/>
    <col min="5" max="5" width="15.109375" style="2" customWidth="1"/>
    <col min="6" max="6" width="10.88671875" style="1" bestFit="1" customWidth="1"/>
    <col min="7" max="7" width="16.88671875" style="1" customWidth="1"/>
    <col min="8" max="10" width="11.44140625" style="8"/>
    <col min="11" max="11" width="13.33203125" style="8" bestFit="1" customWidth="1"/>
    <col min="12" max="16384" width="11.44140625" style="8"/>
  </cols>
  <sheetData>
    <row r="1" spans="2:12" x14ac:dyDescent="0.35">
      <c r="B1" s="32" t="s">
        <v>87</v>
      </c>
      <c r="C1" s="33" t="s">
        <v>93</v>
      </c>
      <c r="D1" s="34"/>
      <c r="E1" s="42"/>
      <c r="F1" s="35" t="s">
        <v>88</v>
      </c>
      <c r="G1" s="36"/>
    </row>
    <row r="2" spans="2:12" x14ac:dyDescent="0.35">
      <c r="B2" s="37" t="s">
        <v>89</v>
      </c>
      <c r="C2" s="38" t="s">
        <v>113</v>
      </c>
      <c r="D2" s="39"/>
      <c r="E2" s="43"/>
      <c r="F2" s="40" t="s">
        <v>91</v>
      </c>
      <c r="G2" s="41">
        <v>42753</v>
      </c>
    </row>
    <row r="3" spans="2:12" ht="15" thickBot="1" x14ac:dyDescent="0.4">
      <c r="G3" s="11">
        <f>+SUM(G6:G17)</f>
        <v>0</v>
      </c>
    </row>
    <row r="4" spans="2:12" ht="15.6" x14ac:dyDescent="0.35">
      <c r="B4" s="91" t="s">
        <v>22</v>
      </c>
      <c r="C4" s="92"/>
      <c r="D4" s="92"/>
      <c r="E4" s="92"/>
      <c r="F4" s="92"/>
      <c r="G4" s="92"/>
    </row>
    <row r="5" spans="2:12" ht="15" thickBot="1" x14ac:dyDescent="0.4">
      <c r="B5" s="65" t="s">
        <v>3</v>
      </c>
      <c r="C5" s="65" t="s">
        <v>0</v>
      </c>
      <c r="D5" s="65" t="s">
        <v>1</v>
      </c>
      <c r="E5" s="65" t="s">
        <v>2</v>
      </c>
      <c r="F5" s="65" t="s">
        <v>5</v>
      </c>
      <c r="G5" s="66" t="s">
        <v>4</v>
      </c>
      <c r="H5" s="4"/>
      <c r="I5" s="5"/>
      <c r="J5" s="4"/>
      <c r="K5" s="3"/>
      <c r="L5" s="3"/>
    </row>
    <row r="6" spans="2:12" ht="26.4" x14ac:dyDescent="0.35">
      <c r="B6" s="67">
        <v>1</v>
      </c>
      <c r="C6" s="68" t="s">
        <v>19</v>
      </c>
      <c r="D6" s="83">
        <f>2*E19+24</f>
        <v>96</v>
      </c>
      <c r="E6" s="70" t="s">
        <v>7</v>
      </c>
      <c r="F6" s="71"/>
      <c r="G6" s="72">
        <f>+D6*F6</f>
        <v>0</v>
      </c>
      <c r="H6" s="4"/>
      <c r="I6" s="5"/>
      <c r="J6" s="4"/>
      <c r="K6" s="3"/>
      <c r="L6" s="3"/>
    </row>
    <row r="7" spans="2:12" ht="35.25" customHeight="1" x14ac:dyDescent="0.35">
      <c r="B7" s="22">
        <v>2</v>
      </c>
      <c r="C7" s="18" t="s">
        <v>10</v>
      </c>
      <c r="D7" s="19">
        <f>3*3*36+120</f>
        <v>444</v>
      </c>
      <c r="E7" s="17" t="s">
        <v>6</v>
      </c>
      <c r="F7" s="20"/>
      <c r="G7" s="73">
        <f t="shared" ref="G7:G17" si="0">+D7*F7</f>
        <v>0</v>
      </c>
      <c r="H7" s="4"/>
      <c r="I7" s="5"/>
      <c r="J7" s="4"/>
      <c r="K7" s="3"/>
      <c r="L7" s="3"/>
    </row>
    <row r="8" spans="2:12" ht="26.4" x14ac:dyDescent="0.35">
      <c r="B8" s="22">
        <v>3</v>
      </c>
      <c r="C8" s="18" t="s">
        <v>23</v>
      </c>
      <c r="D8" s="19">
        <f>3*36+D6</f>
        <v>204</v>
      </c>
      <c r="E8" s="17" t="s">
        <v>8</v>
      </c>
      <c r="F8" s="20"/>
      <c r="G8" s="73">
        <f t="shared" si="0"/>
        <v>0</v>
      </c>
      <c r="H8" s="4"/>
      <c r="I8" s="5"/>
      <c r="J8" s="4"/>
      <c r="K8" s="3"/>
      <c r="L8" s="3"/>
    </row>
    <row r="9" spans="2:12" ht="26.4" x14ac:dyDescent="0.35">
      <c r="B9" s="22">
        <v>4</v>
      </c>
      <c r="C9" s="18" t="s">
        <v>11</v>
      </c>
      <c r="D9" s="19">
        <f>+D8*73+7200</f>
        <v>22092</v>
      </c>
      <c r="E9" s="17" t="s">
        <v>9</v>
      </c>
      <c r="F9" s="20"/>
      <c r="G9" s="73">
        <f t="shared" si="0"/>
        <v>0</v>
      </c>
      <c r="H9" s="4"/>
      <c r="I9" s="5"/>
      <c r="J9" s="4"/>
      <c r="K9" s="3"/>
      <c r="L9" s="3"/>
    </row>
    <row r="10" spans="2:12" ht="26.4" x14ac:dyDescent="0.35">
      <c r="B10" s="22">
        <v>5</v>
      </c>
      <c r="C10" s="18" t="s">
        <v>12</v>
      </c>
      <c r="D10" s="19">
        <f>1*$E$19+12</f>
        <v>48</v>
      </c>
      <c r="E10" s="17" t="s">
        <v>7</v>
      </c>
      <c r="F10" s="20"/>
      <c r="G10" s="73">
        <f t="shared" si="0"/>
        <v>0</v>
      </c>
      <c r="H10" s="4"/>
      <c r="I10" s="5"/>
      <c r="J10" s="4"/>
      <c r="K10" s="3"/>
      <c r="L10" s="3"/>
    </row>
    <row r="11" spans="2:12" ht="26.4" x14ac:dyDescent="0.35">
      <c r="B11" s="22">
        <v>6</v>
      </c>
      <c r="C11" s="18" t="s">
        <v>13</v>
      </c>
      <c r="D11" s="19">
        <f>1*$E$19</f>
        <v>36</v>
      </c>
      <c r="E11" s="17" t="s">
        <v>7</v>
      </c>
      <c r="F11" s="20"/>
      <c r="G11" s="96" t="s">
        <v>112</v>
      </c>
      <c r="H11" s="4"/>
      <c r="I11" s="5"/>
      <c r="J11" s="4"/>
      <c r="K11" s="3"/>
      <c r="L11" s="3"/>
    </row>
    <row r="12" spans="2:12" ht="26.4" x14ac:dyDescent="0.35">
      <c r="B12" s="22">
        <v>7</v>
      </c>
      <c r="C12" s="18" t="s">
        <v>14</v>
      </c>
      <c r="D12" s="19">
        <f>5*36</f>
        <v>180</v>
      </c>
      <c r="E12" s="17" t="s">
        <v>6</v>
      </c>
      <c r="F12" s="20"/>
      <c r="G12" s="73">
        <f t="shared" si="0"/>
        <v>0</v>
      </c>
      <c r="H12" s="4"/>
      <c r="I12" s="5"/>
      <c r="J12" s="4"/>
      <c r="K12" s="3"/>
      <c r="L12" s="3"/>
    </row>
    <row r="13" spans="2:12" ht="26.4" x14ac:dyDescent="0.35">
      <c r="B13" s="22">
        <v>8</v>
      </c>
      <c r="C13" s="18" t="s">
        <v>15</v>
      </c>
      <c r="D13" s="19">
        <f>3*36</f>
        <v>108</v>
      </c>
      <c r="E13" s="17" t="s">
        <v>6</v>
      </c>
      <c r="F13" s="20"/>
      <c r="G13" s="73">
        <f t="shared" si="0"/>
        <v>0</v>
      </c>
      <c r="H13" s="4"/>
      <c r="I13" s="5"/>
      <c r="J13" s="4"/>
      <c r="K13" s="3"/>
      <c r="L13" s="3"/>
    </row>
    <row r="14" spans="2:12" ht="55.5" customHeight="1" x14ac:dyDescent="0.35">
      <c r="B14" s="22">
        <v>9</v>
      </c>
      <c r="C14" s="18" t="s">
        <v>16</v>
      </c>
      <c r="D14" s="19">
        <f>+(3*55)*36</f>
        <v>5940</v>
      </c>
      <c r="E14" s="17" t="s">
        <v>9</v>
      </c>
      <c r="F14" s="20"/>
      <c r="G14" s="73">
        <f t="shared" si="0"/>
        <v>0</v>
      </c>
      <c r="H14" s="4"/>
      <c r="I14" s="5"/>
      <c r="J14" s="4"/>
      <c r="K14" s="3"/>
      <c r="L14" s="3"/>
    </row>
    <row r="15" spans="2:12" ht="26.4" x14ac:dyDescent="0.35">
      <c r="B15" s="22">
        <v>10</v>
      </c>
      <c r="C15" s="18" t="s">
        <v>17</v>
      </c>
      <c r="D15" s="19">
        <f>6*$E$19</f>
        <v>216</v>
      </c>
      <c r="E15" s="17" t="s">
        <v>7</v>
      </c>
      <c r="F15" s="20"/>
      <c r="G15" s="73">
        <f t="shared" si="0"/>
        <v>0</v>
      </c>
      <c r="H15" s="4"/>
      <c r="I15" s="5"/>
      <c r="J15" s="4"/>
      <c r="K15" s="3"/>
      <c r="L15" s="3"/>
    </row>
    <row r="16" spans="2:12" x14ac:dyDescent="0.35">
      <c r="B16" s="22">
        <v>11</v>
      </c>
      <c r="C16" s="21" t="s">
        <v>18</v>
      </c>
      <c r="D16" s="19">
        <f>6*250*36</f>
        <v>54000</v>
      </c>
      <c r="E16" s="17" t="s">
        <v>9</v>
      </c>
      <c r="F16" s="20"/>
      <c r="G16" s="73">
        <f t="shared" si="0"/>
        <v>0</v>
      </c>
      <c r="H16" s="4"/>
      <c r="I16" s="5"/>
      <c r="J16" s="4"/>
      <c r="K16" s="3"/>
      <c r="L16" s="3"/>
    </row>
    <row r="17" spans="2:12" ht="15" thickBot="1" x14ac:dyDescent="0.4">
      <c r="B17" s="25">
        <v>12</v>
      </c>
      <c r="C17" s="84" t="s">
        <v>20</v>
      </c>
      <c r="D17" s="85">
        <v>36</v>
      </c>
      <c r="E17" s="63" t="s">
        <v>7</v>
      </c>
      <c r="F17" s="29"/>
      <c r="G17" s="74">
        <f t="shared" si="0"/>
        <v>0</v>
      </c>
      <c r="H17" s="4"/>
      <c r="I17" s="5"/>
      <c r="J17" s="4"/>
      <c r="K17" s="3"/>
      <c r="L17" s="3"/>
    </row>
    <row r="18" spans="2:12" ht="15" thickBot="1" x14ac:dyDescent="0.4">
      <c r="B18" s="8"/>
      <c r="C18" s="8"/>
      <c r="D18" s="9"/>
      <c r="E18" s="9"/>
      <c r="F18" s="8"/>
      <c r="G18" s="86">
        <f>SUM(G6:G17)</f>
        <v>0</v>
      </c>
    </row>
    <row r="19" spans="2:12" x14ac:dyDescent="0.35">
      <c r="D19" s="2" t="s">
        <v>21</v>
      </c>
      <c r="E19" s="2">
        <v>36</v>
      </c>
    </row>
    <row r="20" spans="2:12" ht="15.6" x14ac:dyDescent="0.3">
      <c r="C20" s="30" t="s">
        <v>84</v>
      </c>
    </row>
    <row r="21" spans="2:12" ht="15.6" x14ac:dyDescent="0.3">
      <c r="C21" s="31" t="s">
        <v>85</v>
      </c>
    </row>
    <row r="22" spans="2:12" ht="15.6" x14ac:dyDescent="0.3">
      <c r="C22" s="31" t="s">
        <v>86</v>
      </c>
    </row>
  </sheetData>
  <mergeCells count="1">
    <mergeCell ref="B4:G4"/>
  </mergeCells>
  <pageMargins left="0" right="0" top="0.15748031496062992" bottom="0.15748031496062992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9"/>
  <sheetViews>
    <sheetView showGridLines="0" topLeftCell="A16" zoomScale="80" zoomScaleNormal="80" workbookViewId="0">
      <selection activeCell="C15" sqref="C15"/>
    </sheetView>
  </sheetViews>
  <sheetFormatPr baseColWidth="10" defaultColWidth="11.44140625" defaultRowHeight="14.4" x14ac:dyDescent="0.35"/>
  <cols>
    <col min="1" max="1" width="1.44140625" style="1" customWidth="1"/>
    <col min="2" max="2" width="11.33203125" style="1" customWidth="1"/>
    <col min="3" max="3" width="61" style="1" customWidth="1"/>
    <col min="4" max="4" width="12.109375" style="2" customWidth="1"/>
    <col min="5" max="5" width="10.33203125" style="2" customWidth="1"/>
    <col min="6" max="6" width="12.44140625" style="1" customWidth="1"/>
    <col min="7" max="7" width="21" style="1" customWidth="1"/>
    <col min="8" max="9" width="11.44140625" style="8"/>
    <col min="10" max="10" width="13.33203125" style="8" bestFit="1" customWidth="1"/>
    <col min="11" max="16384" width="11.44140625" style="8"/>
  </cols>
  <sheetData>
    <row r="2" spans="1:11" x14ac:dyDescent="0.35">
      <c r="B2" s="32" t="s">
        <v>87</v>
      </c>
      <c r="C2" s="33" t="s">
        <v>93</v>
      </c>
      <c r="D2" s="34"/>
      <c r="E2" s="42"/>
      <c r="F2" s="35" t="s">
        <v>88</v>
      </c>
      <c r="G2" s="36"/>
    </row>
    <row r="3" spans="1:11" x14ac:dyDescent="0.35">
      <c r="B3" s="37" t="s">
        <v>89</v>
      </c>
      <c r="C3" s="38" t="s">
        <v>90</v>
      </c>
      <c r="D3" s="39"/>
      <c r="E3" s="43"/>
      <c r="F3" s="40" t="s">
        <v>91</v>
      </c>
      <c r="G3" s="41" t="s">
        <v>92</v>
      </c>
    </row>
    <row r="4" spans="1:11" ht="15" thickBot="1" x14ac:dyDescent="0.4">
      <c r="G4" s="11"/>
    </row>
    <row r="5" spans="1:11" ht="15.6" x14ac:dyDescent="0.35">
      <c r="B5" s="93" t="s">
        <v>44</v>
      </c>
      <c r="C5" s="94"/>
      <c r="D5" s="94"/>
      <c r="E5" s="94"/>
      <c r="F5" s="94"/>
      <c r="G5" s="94"/>
    </row>
    <row r="6" spans="1:11" ht="15" thickBot="1" x14ac:dyDescent="0.4">
      <c r="B6" s="64" t="s">
        <v>3</v>
      </c>
      <c r="C6" s="65" t="s">
        <v>0</v>
      </c>
      <c r="D6" s="65" t="s">
        <v>1</v>
      </c>
      <c r="E6" s="65" t="s">
        <v>2</v>
      </c>
      <c r="F6" s="65" t="s">
        <v>5</v>
      </c>
      <c r="G6" s="66" t="s">
        <v>4</v>
      </c>
      <c r="H6" s="5"/>
      <c r="I6" s="4"/>
      <c r="J6" s="3"/>
      <c r="K6" s="3"/>
    </row>
    <row r="7" spans="1:11" ht="36" customHeight="1" x14ac:dyDescent="0.35">
      <c r="A7" s="8"/>
      <c r="B7" s="67">
        <v>1</v>
      </c>
      <c r="C7" s="68" t="s">
        <v>65</v>
      </c>
      <c r="D7" s="81">
        <v>540</v>
      </c>
      <c r="E7" s="70" t="s">
        <v>45</v>
      </c>
      <c r="F7" s="71"/>
      <c r="G7" s="72">
        <f>+D7*F7</f>
        <v>0</v>
      </c>
      <c r="H7" s="5"/>
      <c r="I7" s="4"/>
      <c r="J7" s="3"/>
      <c r="K7" s="3"/>
    </row>
    <row r="8" spans="1:11" ht="39.6" x14ac:dyDescent="0.35">
      <c r="A8" s="8"/>
      <c r="B8" s="22">
        <v>2</v>
      </c>
      <c r="C8" s="18" t="s">
        <v>66</v>
      </c>
      <c r="D8" s="23">
        <v>105</v>
      </c>
      <c r="E8" s="17" t="s">
        <v>46</v>
      </c>
      <c r="F8" s="20"/>
      <c r="G8" s="73">
        <f t="shared" ref="G8:G23" si="0">+D8*F8</f>
        <v>0</v>
      </c>
      <c r="H8" s="5"/>
      <c r="I8" s="4"/>
      <c r="J8" s="3"/>
      <c r="K8" s="3"/>
    </row>
    <row r="9" spans="1:11" ht="39.6" x14ac:dyDescent="0.35">
      <c r="A9" s="8"/>
      <c r="B9" s="22">
        <v>3</v>
      </c>
      <c r="C9" s="18" t="s">
        <v>67</v>
      </c>
      <c r="D9" s="23">
        <v>1620</v>
      </c>
      <c r="E9" s="17" t="s">
        <v>45</v>
      </c>
      <c r="F9" s="20"/>
      <c r="G9" s="73">
        <f t="shared" si="0"/>
        <v>0</v>
      </c>
      <c r="H9" s="5"/>
      <c r="I9" s="4"/>
      <c r="J9" s="3"/>
      <c r="K9" s="3"/>
    </row>
    <row r="10" spans="1:11" ht="39.6" x14ac:dyDescent="0.35">
      <c r="A10" s="8"/>
      <c r="B10" s="22">
        <v>4</v>
      </c>
      <c r="C10" s="18" t="s">
        <v>47</v>
      </c>
      <c r="D10" s="23">
        <v>3285</v>
      </c>
      <c r="E10" s="17" t="s">
        <v>45</v>
      </c>
      <c r="F10" s="20"/>
      <c r="G10" s="73">
        <f t="shared" si="0"/>
        <v>0</v>
      </c>
      <c r="H10" s="5"/>
      <c r="I10" s="4"/>
      <c r="J10" s="3"/>
      <c r="K10" s="3"/>
    </row>
    <row r="11" spans="1:11" ht="26.4" x14ac:dyDescent="0.35">
      <c r="A11" s="8"/>
      <c r="B11" s="22">
        <v>5</v>
      </c>
      <c r="C11" s="18" t="s">
        <v>48</v>
      </c>
      <c r="D11" s="23">
        <v>504</v>
      </c>
      <c r="E11" s="17" t="s">
        <v>49</v>
      </c>
      <c r="F11" s="20"/>
      <c r="G11" s="73">
        <f t="shared" si="0"/>
        <v>0</v>
      </c>
      <c r="H11" s="5"/>
      <c r="I11" s="4"/>
      <c r="J11" s="3"/>
      <c r="K11" s="3"/>
    </row>
    <row r="12" spans="1:11" ht="26.4" x14ac:dyDescent="0.35">
      <c r="A12" s="8"/>
      <c r="B12" s="22">
        <v>6</v>
      </c>
      <c r="C12" s="18" t="s">
        <v>50</v>
      </c>
      <c r="D12" s="23">
        <v>137760</v>
      </c>
      <c r="E12" s="17" t="s">
        <v>51</v>
      </c>
      <c r="F12" s="20"/>
      <c r="G12" s="73">
        <f t="shared" si="0"/>
        <v>0</v>
      </c>
      <c r="H12" s="5"/>
      <c r="I12" s="4"/>
      <c r="J12" s="3"/>
      <c r="K12" s="3"/>
    </row>
    <row r="13" spans="1:11" ht="26.4" x14ac:dyDescent="0.35">
      <c r="A13" s="8"/>
      <c r="B13" s="22">
        <v>7</v>
      </c>
      <c r="C13" s="18" t="s">
        <v>52</v>
      </c>
      <c r="D13" s="23">
        <v>1650</v>
      </c>
      <c r="E13" s="17" t="s">
        <v>45</v>
      </c>
      <c r="F13" s="20"/>
      <c r="G13" s="73">
        <f t="shared" si="0"/>
        <v>0</v>
      </c>
      <c r="H13" s="5"/>
      <c r="I13" s="4"/>
      <c r="J13" s="3"/>
      <c r="K13" s="3"/>
    </row>
    <row r="14" spans="1:11" ht="26.4" x14ac:dyDescent="0.35">
      <c r="A14" s="8"/>
      <c r="B14" s="22">
        <v>8</v>
      </c>
      <c r="C14" s="18" t="s">
        <v>53</v>
      </c>
      <c r="D14" s="23">
        <v>4950</v>
      </c>
      <c r="E14" s="17" t="s">
        <v>45</v>
      </c>
      <c r="F14" s="20"/>
      <c r="G14" s="73">
        <f t="shared" si="0"/>
        <v>0</v>
      </c>
      <c r="H14" s="5"/>
      <c r="I14" s="4"/>
      <c r="J14" s="3"/>
      <c r="K14" s="3"/>
    </row>
    <row r="15" spans="1:11" ht="39.6" x14ac:dyDescent="0.35">
      <c r="A15" s="8"/>
      <c r="B15" s="22">
        <v>9</v>
      </c>
      <c r="C15" s="18" t="s">
        <v>54</v>
      </c>
      <c r="D15" s="23">
        <v>432000</v>
      </c>
      <c r="E15" s="17" t="s">
        <v>51</v>
      </c>
      <c r="F15" s="20"/>
      <c r="G15" s="73">
        <f t="shared" si="0"/>
        <v>0</v>
      </c>
      <c r="H15" s="5"/>
      <c r="I15" s="4"/>
      <c r="J15" s="3"/>
      <c r="K15" s="3"/>
    </row>
    <row r="16" spans="1:11" ht="58.5" customHeight="1" x14ac:dyDescent="0.35">
      <c r="A16" s="8"/>
      <c r="B16" s="22">
        <v>10</v>
      </c>
      <c r="C16" s="18" t="s">
        <v>55</v>
      </c>
      <c r="D16" s="23">
        <v>87</v>
      </c>
      <c r="E16" s="17" t="s">
        <v>46</v>
      </c>
      <c r="F16" s="20"/>
      <c r="G16" s="73">
        <f t="shared" si="0"/>
        <v>0</v>
      </c>
      <c r="H16" s="5"/>
      <c r="I16" s="4"/>
      <c r="J16" s="3"/>
      <c r="K16" s="3"/>
    </row>
    <row r="17" spans="1:11" ht="38.25" customHeight="1" x14ac:dyDescent="0.35">
      <c r="A17" s="8"/>
      <c r="B17" s="22">
        <v>11</v>
      </c>
      <c r="C17" s="24" t="s">
        <v>56</v>
      </c>
      <c r="D17" s="23">
        <v>36</v>
      </c>
      <c r="E17" s="17" t="s">
        <v>46</v>
      </c>
      <c r="F17" s="20"/>
      <c r="G17" s="73">
        <f t="shared" si="0"/>
        <v>0</v>
      </c>
      <c r="H17" s="5"/>
      <c r="I17" s="4"/>
      <c r="J17" s="3"/>
      <c r="K17" s="3"/>
    </row>
    <row r="18" spans="1:11" ht="46.5" customHeight="1" x14ac:dyDescent="0.35">
      <c r="A18" s="8"/>
      <c r="B18" s="22">
        <v>12</v>
      </c>
      <c r="C18" s="18" t="s">
        <v>57</v>
      </c>
      <c r="D18" s="23">
        <v>540</v>
      </c>
      <c r="E18" s="17" t="s">
        <v>45</v>
      </c>
      <c r="F18" s="20"/>
      <c r="G18" s="73">
        <f t="shared" si="0"/>
        <v>0</v>
      </c>
      <c r="H18" s="5"/>
      <c r="I18" s="4"/>
      <c r="J18" s="3"/>
      <c r="K18" s="3"/>
    </row>
    <row r="19" spans="1:11" ht="46.5" customHeight="1" x14ac:dyDescent="0.35">
      <c r="A19" s="8"/>
      <c r="B19" s="22">
        <v>13</v>
      </c>
      <c r="C19" s="18" t="s">
        <v>58</v>
      </c>
      <c r="D19" s="23">
        <v>540</v>
      </c>
      <c r="E19" s="17" t="s">
        <v>45</v>
      </c>
      <c r="F19" s="20"/>
      <c r="G19" s="73">
        <f t="shared" si="0"/>
        <v>0</v>
      </c>
      <c r="H19" s="5"/>
      <c r="I19" s="4"/>
      <c r="J19" s="3"/>
      <c r="K19" s="3"/>
    </row>
    <row r="20" spans="1:11" ht="26.4" x14ac:dyDescent="0.35">
      <c r="A20" s="8"/>
      <c r="B20" s="22">
        <v>14</v>
      </c>
      <c r="C20" s="18" t="s">
        <v>59</v>
      </c>
      <c r="D20" s="23">
        <v>9750000</v>
      </c>
      <c r="E20" s="17" t="s">
        <v>60</v>
      </c>
      <c r="F20" s="20"/>
      <c r="G20" s="73">
        <f t="shared" si="0"/>
        <v>0</v>
      </c>
      <c r="H20" s="5"/>
      <c r="I20" s="4"/>
      <c r="J20" s="3"/>
      <c r="K20" s="3"/>
    </row>
    <row r="21" spans="1:11" ht="46.5" customHeight="1" x14ac:dyDescent="0.35">
      <c r="A21" s="8"/>
      <c r="B21" s="22">
        <v>15</v>
      </c>
      <c r="C21" s="21" t="s">
        <v>61</v>
      </c>
      <c r="D21" s="23">
        <v>432</v>
      </c>
      <c r="E21" s="17" t="s">
        <v>45</v>
      </c>
      <c r="F21" s="20"/>
      <c r="G21" s="73">
        <f t="shared" si="0"/>
        <v>0</v>
      </c>
      <c r="H21" s="5"/>
      <c r="I21" s="4"/>
      <c r="J21" s="3"/>
      <c r="K21" s="3"/>
    </row>
    <row r="22" spans="1:11" ht="74.25" customHeight="1" x14ac:dyDescent="0.35">
      <c r="A22" s="8"/>
      <c r="B22" s="22">
        <v>16</v>
      </c>
      <c r="C22" s="18" t="s">
        <v>62</v>
      </c>
      <c r="D22" s="23">
        <v>288</v>
      </c>
      <c r="E22" s="17" t="s">
        <v>45</v>
      </c>
      <c r="F22" s="20"/>
      <c r="G22" s="73">
        <f t="shared" si="0"/>
        <v>0</v>
      </c>
      <c r="H22" s="5"/>
      <c r="I22" s="4"/>
      <c r="J22" s="3"/>
      <c r="K22" s="3"/>
    </row>
    <row r="23" spans="1:11" ht="54.75" customHeight="1" thickBot="1" x14ac:dyDescent="0.4">
      <c r="A23" s="8"/>
      <c r="B23" s="25">
        <v>17</v>
      </c>
      <c r="C23" s="26" t="s">
        <v>63</v>
      </c>
      <c r="D23" s="27">
        <v>288</v>
      </c>
      <c r="E23" s="28" t="s">
        <v>64</v>
      </c>
      <c r="F23" s="29"/>
      <c r="G23" s="74">
        <f t="shared" si="0"/>
        <v>0</v>
      </c>
      <c r="H23" s="5"/>
      <c r="I23" s="4"/>
      <c r="J23" s="3"/>
      <c r="K23" s="3"/>
    </row>
    <row r="24" spans="1:11" ht="15" thickBot="1" x14ac:dyDescent="0.4">
      <c r="G24" s="82">
        <f>SUM(G7:G23)</f>
        <v>0</v>
      </c>
    </row>
    <row r="25" spans="1:11" x14ac:dyDescent="0.35">
      <c r="D25" s="2" t="s">
        <v>21</v>
      </c>
      <c r="E25" s="2">
        <v>36</v>
      </c>
    </row>
    <row r="27" spans="1:11" ht="15.6" x14ac:dyDescent="0.3">
      <c r="B27" s="30" t="s">
        <v>84</v>
      </c>
    </row>
    <row r="28" spans="1:11" ht="15.6" x14ac:dyDescent="0.3">
      <c r="B28" s="31" t="s">
        <v>85</v>
      </c>
    </row>
    <row r="29" spans="1:11" ht="15.6" x14ac:dyDescent="0.3">
      <c r="B29" s="31" t="s">
        <v>86</v>
      </c>
    </row>
  </sheetData>
  <mergeCells count="1">
    <mergeCell ref="B5:G5"/>
  </mergeCells>
  <pageMargins left="0.25" right="0.25" top="0.75" bottom="0.75" header="0.3" footer="0.3"/>
  <pageSetup paperSize="8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workbookViewId="0">
      <selection activeCell="C4" sqref="C4"/>
    </sheetView>
  </sheetViews>
  <sheetFormatPr baseColWidth="10" defaultRowHeight="14.4" x14ac:dyDescent="0.35"/>
  <cols>
    <col min="1" max="1" width="13.6640625" bestFit="1" customWidth="1"/>
    <col min="2" max="2" width="16.5546875" bestFit="1" customWidth="1"/>
    <col min="3" max="3" width="9.5546875" bestFit="1" customWidth="1"/>
    <col min="4" max="4" width="27.109375" bestFit="1" customWidth="1"/>
  </cols>
  <sheetData>
    <row r="1" spans="1:4" x14ac:dyDescent="0.35">
      <c r="A1" s="7" t="s">
        <v>25</v>
      </c>
      <c r="B1" s="7" t="s">
        <v>26</v>
      </c>
      <c r="C1" s="7" t="s">
        <v>27</v>
      </c>
      <c r="D1" s="7" t="s">
        <v>28</v>
      </c>
    </row>
    <row r="2" spans="1:4" x14ac:dyDescent="0.35">
      <c r="A2" s="95" t="s">
        <v>29</v>
      </c>
      <c r="B2" s="6" t="s">
        <v>30</v>
      </c>
      <c r="C2" s="6" t="s">
        <v>31</v>
      </c>
      <c r="D2" s="6"/>
    </row>
    <row r="3" spans="1:4" x14ac:dyDescent="0.35">
      <c r="A3" s="95"/>
      <c r="B3" s="6" t="s">
        <v>32</v>
      </c>
      <c r="C3" s="6" t="s">
        <v>33</v>
      </c>
      <c r="D3" s="6" t="s">
        <v>34</v>
      </c>
    </row>
    <row r="4" spans="1:4" x14ac:dyDescent="0.35">
      <c r="A4" s="7" t="s">
        <v>35</v>
      </c>
      <c r="B4" s="7" t="s">
        <v>36</v>
      </c>
      <c r="C4" s="7" t="s">
        <v>37</v>
      </c>
      <c r="D4" s="7" t="s">
        <v>38</v>
      </c>
    </row>
    <row r="5" spans="1:4" x14ac:dyDescent="0.35">
      <c r="A5" s="95" t="s">
        <v>24</v>
      </c>
      <c r="B5" s="6" t="s">
        <v>39</v>
      </c>
      <c r="C5" s="6" t="s">
        <v>40</v>
      </c>
      <c r="D5" s="6" t="s">
        <v>41</v>
      </c>
    </row>
    <row r="6" spans="1:4" x14ac:dyDescent="0.35">
      <c r="A6" s="95"/>
      <c r="B6" s="6" t="s">
        <v>42</v>
      </c>
      <c r="C6" s="6">
        <v>9</v>
      </c>
      <c r="D6" s="6" t="s">
        <v>43</v>
      </c>
    </row>
  </sheetData>
  <mergeCells count="2">
    <mergeCell ref="A2:A3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Hoja5</vt:lpstr>
      <vt:lpstr>SCH</vt:lpstr>
      <vt:lpstr>EM</vt:lpstr>
      <vt:lpstr>Med RN</vt:lpstr>
      <vt:lpstr>COPO</vt:lpstr>
      <vt:lpstr>Hoja1</vt:lpstr>
      <vt:lpstr>COPO!Área_de_impresión</vt:lpstr>
      <vt:lpstr>EM!Área_de_impresión</vt:lpstr>
      <vt:lpstr>'Med RN'!Área_de_impresión</vt:lpstr>
      <vt:lpstr>SCH!Área_de_impresión</vt:lpstr>
    </vt:vector>
  </TitlesOfParts>
  <Company>Petrobras Argentina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Urbina Rodriguez Zuleima Del Carme</dc:creator>
  <cp:lastModifiedBy>Fernando Gordo</cp:lastModifiedBy>
  <cp:lastPrinted>2016-11-25T18:36:11Z</cp:lastPrinted>
  <dcterms:created xsi:type="dcterms:W3CDTF">2014-07-03T11:33:40Z</dcterms:created>
  <dcterms:modified xsi:type="dcterms:W3CDTF">2017-01-18T13:17:01Z</dcterms:modified>
</cp:coreProperties>
</file>