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7655" windowHeight="6150"/>
  </bookViews>
  <sheets>
    <sheet name="Listado Mayo 2014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F81" i="2"/>
  <c r="I81"/>
  <c r="L81"/>
  <c r="F82"/>
  <c r="F83"/>
  <c r="F84"/>
  <c r="F85"/>
  <c r="F86"/>
  <c r="F87"/>
  <c r="F88"/>
  <c r="F89"/>
  <c r="F90"/>
  <c r="F91"/>
  <c r="F92"/>
  <c r="F93"/>
  <c r="Y51"/>
  <c r="Q54"/>
  <c r="Q53"/>
  <c r="Q52"/>
  <c r="P52"/>
  <c r="P53"/>
  <c r="P54"/>
  <c r="H52"/>
  <c r="I52"/>
  <c r="J52"/>
  <c r="N52"/>
  <c r="Y50"/>
  <c r="Y52"/>
  <c r="Y53"/>
  <c r="Y54"/>
  <c r="H54"/>
  <c r="I54"/>
  <c r="R54"/>
  <c r="R50"/>
  <c r="Q50"/>
  <c r="P50"/>
  <c r="H50"/>
  <c r="R46"/>
  <c r="R47"/>
  <c r="R48"/>
  <c r="R49"/>
  <c r="R52"/>
  <c r="R53"/>
  <c r="AA48"/>
  <c r="Q48"/>
  <c r="P48"/>
  <c r="H48"/>
  <c r="Z47"/>
  <c r="Z46"/>
  <c r="AB47"/>
  <c r="AB46"/>
  <c r="Y46"/>
  <c r="Y47"/>
  <c r="Y48"/>
  <c r="Q46"/>
  <c r="Q47"/>
  <c r="P46"/>
  <c r="P47"/>
  <c r="I48"/>
  <c r="I50"/>
  <c r="L50"/>
  <c r="H47"/>
  <c r="I47"/>
  <c r="M47"/>
  <c r="H46"/>
  <c r="I46"/>
  <c r="N46"/>
  <c r="Q51"/>
  <c r="P51"/>
  <c r="H51"/>
  <c r="I51"/>
  <c r="Y45"/>
  <c r="Q45"/>
  <c r="P45"/>
  <c r="H45"/>
  <c r="I45"/>
  <c r="A45"/>
  <c r="A47"/>
  <c r="A48"/>
  <c r="A49"/>
  <c r="A50"/>
  <c r="A52"/>
  <c r="A53"/>
  <c r="A54"/>
  <c r="Y49"/>
  <c r="Q49"/>
  <c r="P49"/>
  <c r="H49"/>
  <c r="I49"/>
  <c r="A63"/>
  <c r="A64"/>
  <c r="A65"/>
  <c r="A66"/>
  <c r="A67"/>
  <c r="A35"/>
  <c r="A36"/>
  <c r="A37"/>
  <c r="AA27"/>
  <c r="X27"/>
  <c r="Q27"/>
  <c r="P27"/>
  <c r="H27"/>
  <c r="I27"/>
  <c r="AA26"/>
  <c r="X26"/>
  <c r="Q26"/>
  <c r="P26"/>
  <c r="H26"/>
  <c r="I26"/>
  <c r="AA25"/>
  <c r="Y25"/>
  <c r="X25"/>
  <c r="Q25"/>
  <c r="P25"/>
  <c r="H25"/>
  <c r="I25"/>
  <c r="J67"/>
  <c r="L67"/>
  <c r="I67"/>
  <c r="K67"/>
  <c r="Y7"/>
  <c r="J64"/>
  <c r="L64"/>
  <c r="J65"/>
  <c r="L65"/>
  <c r="J66"/>
  <c r="L66"/>
  <c r="I64"/>
  <c r="K64"/>
  <c r="M64"/>
  <c r="I65"/>
  <c r="K65"/>
  <c r="I66"/>
  <c r="K66"/>
  <c r="M66"/>
  <c r="N66"/>
  <c r="H63"/>
  <c r="J63"/>
  <c r="L63"/>
  <c r="G63"/>
  <c r="I63"/>
  <c r="K63"/>
  <c r="M63"/>
  <c r="J62"/>
  <c r="L62"/>
  <c r="I62"/>
  <c r="K62"/>
  <c r="M62"/>
  <c r="AB53"/>
  <c r="H53"/>
  <c r="I53"/>
  <c r="M53"/>
  <c r="AA37"/>
  <c r="Y37"/>
  <c r="AA24"/>
  <c r="Y24"/>
  <c r="AA36"/>
  <c r="Y36"/>
  <c r="AA22"/>
  <c r="Y21"/>
  <c r="AA19"/>
  <c r="Q18"/>
  <c r="AA17"/>
  <c r="AA15"/>
  <c r="AA11"/>
  <c r="Y11"/>
  <c r="AA10"/>
  <c r="Q9"/>
  <c r="Y8"/>
  <c r="AA7"/>
  <c r="P7"/>
  <c r="P6"/>
  <c r="Q6"/>
  <c r="X6"/>
  <c r="Q7"/>
  <c r="X7"/>
  <c r="P8"/>
  <c r="Q8"/>
  <c r="X8"/>
  <c r="AA8"/>
  <c r="P9"/>
  <c r="X9"/>
  <c r="P10"/>
  <c r="Q10"/>
  <c r="X10"/>
  <c r="P11"/>
  <c r="Q11"/>
  <c r="X11"/>
  <c r="P12"/>
  <c r="Q12"/>
  <c r="X12"/>
  <c r="P13"/>
  <c r="Q13"/>
  <c r="X13"/>
  <c r="AA13"/>
  <c r="P14"/>
  <c r="Q14"/>
  <c r="X14"/>
  <c r="AA14"/>
  <c r="P15"/>
  <c r="Q15"/>
  <c r="X15"/>
  <c r="P16"/>
  <c r="Q16"/>
  <c r="X16"/>
  <c r="AA16"/>
  <c r="P17"/>
  <c r="Q17"/>
  <c r="X17"/>
  <c r="P18"/>
  <c r="X18"/>
  <c r="P35"/>
  <c r="Q35"/>
  <c r="X35"/>
  <c r="AA35"/>
  <c r="P19"/>
  <c r="Q19"/>
  <c r="X19"/>
  <c r="P20"/>
  <c r="Q20"/>
  <c r="X20"/>
  <c r="AA20"/>
  <c r="P21"/>
  <c r="Q21"/>
  <c r="X21"/>
  <c r="AA21"/>
  <c r="P22"/>
  <c r="Q22"/>
  <c r="X22"/>
  <c r="P36"/>
  <c r="Q36"/>
  <c r="X36"/>
  <c r="P23"/>
  <c r="Q23"/>
  <c r="X23"/>
  <c r="P24"/>
  <c r="Q24"/>
  <c r="X24"/>
  <c r="P37"/>
  <c r="Q37"/>
  <c r="X37"/>
  <c r="AA5"/>
  <c r="X5"/>
  <c r="Q5"/>
  <c r="P5"/>
  <c r="M65"/>
  <c r="O65"/>
  <c r="N65"/>
  <c r="N63"/>
  <c r="O63"/>
  <c r="N64"/>
  <c r="O64"/>
  <c r="O66"/>
  <c r="M67"/>
  <c r="M50"/>
  <c r="L52"/>
  <c r="N53"/>
  <c r="K50"/>
  <c r="N50"/>
  <c r="N54"/>
  <c r="M54"/>
  <c r="K47"/>
  <c r="O47"/>
  <c r="M52"/>
  <c r="N47"/>
  <c r="O52"/>
  <c r="O50"/>
  <c r="L54"/>
  <c r="K54"/>
  <c r="K46"/>
  <c r="O46"/>
  <c r="L47"/>
  <c r="M46"/>
  <c r="L46"/>
  <c r="J48"/>
  <c r="L48"/>
  <c r="K53"/>
  <c r="O53"/>
  <c r="J51"/>
  <c r="O51"/>
  <c r="A51"/>
  <c r="J45"/>
  <c r="O45"/>
  <c r="J49"/>
  <c r="M25"/>
  <c r="K25"/>
  <c r="O25"/>
  <c r="N25"/>
  <c r="L25"/>
  <c r="K26"/>
  <c r="O26"/>
  <c r="M26"/>
  <c r="K27"/>
  <c r="O27"/>
  <c r="M27"/>
  <c r="L26"/>
  <c r="N26"/>
  <c r="L27"/>
  <c r="N27"/>
  <c r="S46"/>
  <c r="T46"/>
  <c r="U46"/>
  <c r="S50"/>
  <c r="T50"/>
  <c r="U50"/>
  <c r="T52"/>
  <c r="U52"/>
  <c r="S64"/>
  <c r="P64"/>
  <c r="S63"/>
  <c r="P63"/>
  <c r="S65"/>
  <c r="P65"/>
  <c r="V50"/>
  <c r="S27"/>
  <c r="O67"/>
  <c r="N67"/>
  <c r="S66"/>
  <c r="P66"/>
  <c r="S26"/>
  <c r="T26"/>
  <c r="U26"/>
  <c r="V52"/>
  <c r="S47"/>
  <c r="T47"/>
  <c r="U47"/>
  <c r="M48"/>
  <c r="M51"/>
  <c r="O48"/>
  <c r="N48"/>
  <c r="O54"/>
  <c r="S54"/>
  <c r="L49"/>
  <c r="L45"/>
  <c r="T45"/>
  <c r="U45"/>
  <c r="L51"/>
  <c r="T51"/>
  <c r="U51"/>
  <c r="O49"/>
  <c r="N49"/>
  <c r="M49"/>
  <c r="R25"/>
  <c r="S25"/>
  <c r="N62"/>
  <c r="O62"/>
  <c r="L53"/>
  <c r="T53"/>
  <c r="U53"/>
  <c r="T48"/>
  <c r="U48"/>
  <c r="P67"/>
  <c r="S67"/>
  <c r="W50"/>
  <c r="X50"/>
  <c r="AC50"/>
  <c r="W52"/>
  <c r="X52"/>
  <c r="AC52"/>
  <c r="T49"/>
  <c r="U49"/>
  <c r="V47"/>
  <c r="T54"/>
  <c r="U54"/>
  <c r="V48"/>
  <c r="V53"/>
  <c r="P62"/>
  <c r="S62"/>
  <c r="V54"/>
  <c r="V51"/>
  <c r="V46"/>
  <c r="V45"/>
  <c r="W45"/>
  <c r="V26"/>
  <c r="W26"/>
  <c r="AB26"/>
  <c r="T25"/>
  <c r="U25"/>
  <c r="T27"/>
  <c r="U27"/>
  <c r="S68"/>
  <c r="H75"/>
  <c r="W51"/>
  <c r="X51"/>
  <c r="AC51"/>
  <c r="W48"/>
  <c r="X48"/>
  <c r="AC48"/>
  <c r="X47"/>
  <c r="AC47"/>
  <c r="W47"/>
  <c r="W46"/>
  <c r="X46"/>
  <c r="AC46"/>
  <c r="W54"/>
  <c r="X54"/>
  <c r="AC54"/>
  <c r="X53"/>
  <c r="AC53"/>
  <c r="W53"/>
  <c r="V49"/>
  <c r="X45"/>
  <c r="AC45"/>
  <c r="V25"/>
  <c r="W25"/>
  <c r="AB25"/>
  <c r="V27"/>
  <c r="W27"/>
  <c r="AB27"/>
  <c r="X49"/>
  <c r="AC49"/>
  <c r="W49"/>
  <c r="AC55"/>
  <c r="H74"/>
  <c r="H6"/>
  <c r="H7"/>
  <c r="H8"/>
  <c r="H9"/>
  <c r="H10"/>
  <c r="H11"/>
  <c r="H12"/>
  <c r="H13"/>
  <c r="H14"/>
  <c r="H15"/>
  <c r="H16"/>
  <c r="H17"/>
  <c r="H18"/>
  <c r="H35"/>
  <c r="H19"/>
  <c r="H20"/>
  <c r="H21"/>
  <c r="H22"/>
  <c r="H36"/>
  <c r="H23"/>
  <c r="H24"/>
  <c r="H37"/>
  <c r="H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I37"/>
  <c r="I18"/>
  <c r="I35"/>
  <c r="I19"/>
  <c r="I20"/>
  <c r="I21"/>
  <c r="I22"/>
  <c r="I36"/>
  <c r="I23"/>
  <c r="I24"/>
  <c r="I17"/>
  <c r="I16"/>
  <c r="I15"/>
  <c r="I14"/>
  <c r="I13"/>
  <c r="I12"/>
  <c r="I11"/>
  <c r="I10"/>
  <c r="I9"/>
  <c r="I8"/>
  <c r="I7"/>
  <c r="I6"/>
  <c r="I5"/>
  <c r="K15"/>
  <c r="K22"/>
  <c r="K20"/>
  <c r="K35"/>
  <c r="K14"/>
  <c r="K16"/>
  <c r="K19"/>
  <c r="J5"/>
  <c r="K17"/>
  <c r="K7"/>
  <c r="K11"/>
  <c r="K37"/>
  <c r="K8"/>
  <c r="K24"/>
  <c r="K36"/>
  <c r="K21"/>
  <c r="J12"/>
  <c r="M12"/>
  <c r="J6"/>
  <c r="J10"/>
  <c r="L10"/>
  <c r="L16"/>
  <c r="M24"/>
  <c r="M36"/>
  <c r="M21"/>
  <c r="J18"/>
  <c r="J9"/>
  <c r="M9"/>
  <c r="M11"/>
  <c r="J13"/>
  <c r="M13"/>
  <c r="J23"/>
  <c r="M23"/>
  <c r="M22"/>
  <c r="M20"/>
  <c r="M35"/>
  <c r="M37"/>
  <c r="M7"/>
  <c r="M5"/>
  <c r="N5"/>
  <c r="L5"/>
  <c r="L7"/>
  <c r="L35"/>
  <c r="O35"/>
  <c r="N35"/>
  <c r="L22"/>
  <c r="O22"/>
  <c r="N22"/>
  <c r="L17"/>
  <c r="O17"/>
  <c r="N17"/>
  <c r="L15"/>
  <c r="O15"/>
  <c r="N15"/>
  <c r="L13"/>
  <c r="O13"/>
  <c r="S13"/>
  <c r="N13"/>
  <c r="L9"/>
  <c r="O9"/>
  <c r="N9"/>
  <c r="O18"/>
  <c r="N19"/>
  <c r="O19"/>
  <c r="O21"/>
  <c r="N21"/>
  <c r="O16"/>
  <c r="N16"/>
  <c r="O14"/>
  <c r="N14"/>
  <c r="O8"/>
  <c r="N8"/>
  <c r="L6"/>
  <c r="S6"/>
  <c r="O6"/>
  <c r="L37"/>
  <c r="O37"/>
  <c r="N37"/>
  <c r="L20"/>
  <c r="O20"/>
  <c r="N20"/>
  <c r="L23"/>
  <c r="O23"/>
  <c r="N23"/>
  <c r="L11"/>
  <c r="O11"/>
  <c r="N11"/>
  <c r="N36"/>
  <c r="O36"/>
  <c r="N24"/>
  <c r="O24"/>
  <c r="O10"/>
  <c r="N10"/>
  <c r="O12"/>
  <c r="N12"/>
  <c r="M14"/>
  <c r="L8"/>
  <c r="M17"/>
  <c r="S17"/>
  <c r="M15"/>
  <c r="L18"/>
  <c r="S18"/>
  <c r="M19"/>
  <c r="L19"/>
  <c r="S19"/>
  <c r="L21"/>
  <c r="L36"/>
  <c r="L24"/>
  <c r="M16"/>
  <c r="S16"/>
  <c r="L14"/>
  <c r="M10"/>
  <c r="S10"/>
  <c r="M8"/>
  <c r="L12"/>
  <c r="S12"/>
  <c r="O7"/>
  <c r="N7"/>
  <c r="O5"/>
  <c r="S23"/>
  <c r="S9"/>
  <c r="S22"/>
  <c r="S5"/>
  <c r="S15"/>
  <c r="S14"/>
  <c r="S20"/>
  <c r="T18"/>
  <c r="U18"/>
  <c r="V18"/>
  <c r="W18"/>
  <c r="AB18"/>
  <c r="T12"/>
  <c r="U12"/>
  <c r="V12"/>
  <c r="W12"/>
  <c r="AB12"/>
  <c r="T10"/>
  <c r="U10"/>
  <c r="V10"/>
  <c r="W10"/>
  <c r="AB10"/>
  <c r="R24"/>
  <c r="S24"/>
  <c r="R36"/>
  <c r="S36"/>
  <c r="R11"/>
  <c r="S11"/>
  <c r="T23"/>
  <c r="U23"/>
  <c r="V23"/>
  <c r="W23"/>
  <c r="AB23"/>
  <c r="R37"/>
  <c r="T9"/>
  <c r="U9"/>
  <c r="V9"/>
  <c r="W9"/>
  <c r="AB9"/>
  <c r="T14"/>
  <c r="U14"/>
  <c r="V14"/>
  <c r="W14"/>
  <c r="AB14"/>
  <c r="R7"/>
  <c r="S7"/>
  <c r="T16"/>
  <c r="U16"/>
  <c r="V16"/>
  <c r="W16"/>
  <c r="AB16"/>
  <c r="T19"/>
  <c r="U19"/>
  <c r="V19"/>
  <c r="W19"/>
  <c r="AB19"/>
  <c r="T20"/>
  <c r="U20"/>
  <c r="V20"/>
  <c r="W20"/>
  <c r="AB20"/>
  <c r="T17"/>
  <c r="U17"/>
  <c r="V17"/>
  <c r="W17"/>
  <c r="AB17"/>
  <c r="S35"/>
  <c r="T6"/>
  <c r="U6"/>
  <c r="V6"/>
  <c r="W6"/>
  <c r="AB6"/>
  <c r="T22"/>
  <c r="U22"/>
  <c r="V22"/>
  <c r="W22"/>
  <c r="AB22"/>
  <c r="T13"/>
  <c r="U13"/>
  <c r="V13"/>
  <c r="W13"/>
  <c r="AB13"/>
  <c r="R8"/>
  <c r="R21"/>
  <c r="S21"/>
  <c r="T11"/>
  <c r="U11"/>
  <c r="V11"/>
  <c r="W11"/>
  <c r="AB11"/>
  <c r="S8"/>
  <c r="T8"/>
  <c r="U8"/>
  <c r="V8"/>
  <c r="W8"/>
  <c r="AB8"/>
  <c r="S37"/>
  <c r="T37"/>
  <c r="U37"/>
  <c r="V37"/>
  <c r="W37"/>
  <c r="AB37"/>
  <c r="T21"/>
  <c r="U21"/>
  <c r="V21"/>
  <c r="W21"/>
  <c r="AB21"/>
  <c r="T15"/>
  <c r="T35"/>
  <c r="T36"/>
  <c r="U36"/>
  <c r="V36"/>
  <c r="W36"/>
  <c r="AB36"/>
  <c r="T24"/>
  <c r="U24"/>
  <c r="V24"/>
  <c r="W24"/>
  <c r="AB24"/>
  <c r="T7"/>
  <c r="U7"/>
  <c r="T5"/>
  <c r="U5"/>
  <c r="V5"/>
  <c r="U35"/>
  <c r="U15"/>
  <c r="V15"/>
  <c r="W15"/>
  <c r="AB15"/>
  <c r="V7"/>
  <c r="W7"/>
  <c r="AB7"/>
  <c r="W5"/>
  <c r="V35"/>
  <c r="W35"/>
  <c r="AB35"/>
  <c r="AB38"/>
  <c r="H73"/>
  <c r="AB5"/>
  <c r="AB28"/>
  <c r="H72"/>
  <c r="H76"/>
</calcChain>
</file>

<file path=xl/sharedStrings.xml><?xml version="1.0" encoding="utf-8"?>
<sst xmlns="http://schemas.openxmlformats.org/spreadsheetml/2006/main" count="324" uniqueCount="144">
  <si>
    <t>Datos Personales</t>
  </si>
  <si>
    <t>APELLIDO</t>
  </si>
  <si>
    <t>NOMBRE</t>
  </si>
  <si>
    <t>Alias</t>
  </si>
  <si>
    <t>Fernando Javier</t>
  </si>
  <si>
    <t>Aranda</t>
  </si>
  <si>
    <t>Mario</t>
  </si>
  <si>
    <t>Araneda</t>
  </si>
  <si>
    <t>Ana Romina</t>
  </si>
  <si>
    <t>Campas</t>
  </si>
  <si>
    <t>Manuel Alejandro</t>
  </si>
  <si>
    <t>Castillo</t>
  </si>
  <si>
    <t>Pablo Angel</t>
  </si>
  <si>
    <t>Osvaldo</t>
  </si>
  <si>
    <t>Casteluche</t>
  </si>
  <si>
    <t xml:space="preserve">Marco </t>
  </si>
  <si>
    <t>Cuevas</t>
  </si>
  <si>
    <t>Candia Erwin</t>
  </si>
  <si>
    <t>Damm</t>
  </si>
  <si>
    <t>Nicolás</t>
  </si>
  <si>
    <t>Gordo</t>
  </si>
  <si>
    <t>Fernando</t>
  </si>
  <si>
    <t>Darío</t>
  </si>
  <si>
    <t>Adrian</t>
  </si>
  <si>
    <t>Oscar</t>
  </si>
  <si>
    <t>Jorge</t>
  </si>
  <si>
    <t>Maria Constanza</t>
  </si>
  <si>
    <t>Gramajo</t>
  </si>
  <si>
    <t>Enrique Javier</t>
  </si>
  <si>
    <t>Lucero</t>
  </si>
  <si>
    <t>Sergio Jose</t>
  </si>
  <si>
    <t>Macaya</t>
  </si>
  <si>
    <t>Matias</t>
  </si>
  <si>
    <t>Martinelli</t>
  </si>
  <si>
    <t>Gustavo Jose</t>
  </si>
  <si>
    <t xml:space="preserve">Mendicoa </t>
  </si>
  <si>
    <t>Silvina H.</t>
  </si>
  <si>
    <t>Molina</t>
  </si>
  <si>
    <t>Jorge Omar</t>
  </si>
  <si>
    <t>Ormeño</t>
  </si>
  <si>
    <t>Peña</t>
  </si>
  <si>
    <t>Carlos</t>
  </si>
  <si>
    <t>Pino</t>
  </si>
  <si>
    <t>Adrián</t>
  </si>
  <si>
    <t>Reyes</t>
  </si>
  <si>
    <t>Octavio</t>
  </si>
  <si>
    <t xml:space="preserve">Riquelme </t>
  </si>
  <si>
    <t>Julio Cesar</t>
  </si>
  <si>
    <t>Rodriguez</t>
  </si>
  <si>
    <t>Schiro</t>
  </si>
  <si>
    <t>Sepulveda</t>
  </si>
  <si>
    <t>Jaime Antonio</t>
  </si>
  <si>
    <t>Sosa</t>
  </si>
  <si>
    <t>Rosaura</t>
  </si>
  <si>
    <t>Uribe</t>
  </si>
  <si>
    <t>Gabriel Emilio</t>
  </si>
  <si>
    <t>Vicente</t>
  </si>
  <si>
    <t>Gustavo</t>
  </si>
  <si>
    <t>Zeballos</t>
  </si>
  <si>
    <t>Gaston Andres</t>
  </si>
  <si>
    <t>Totales</t>
  </si>
  <si>
    <t>Cristian</t>
  </si>
  <si>
    <t>OPERADORA</t>
  </si>
  <si>
    <t>P.PRIVADOS</t>
  </si>
  <si>
    <t>P.JERARQUICO</t>
  </si>
  <si>
    <t>PETROBRAS</t>
  </si>
  <si>
    <t xml:space="preserve">Salario Bas. </t>
  </si>
  <si>
    <t>Salario Bas. Con ajuste 17%</t>
  </si>
  <si>
    <t>Diferencia</t>
  </si>
  <si>
    <t xml:space="preserve">Adic. T "B" </t>
  </si>
  <si>
    <t xml:space="preserve">Adic. T "A" </t>
  </si>
  <si>
    <t>Presentismo</t>
  </si>
  <si>
    <t xml:space="preserve">Hs. Viaje </t>
  </si>
  <si>
    <t>Hs. Extra</t>
  </si>
  <si>
    <t>Antigüedad</t>
  </si>
  <si>
    <t>Diferencia Bonos Paz Social</t>
  </si>
  <si>
    <t>Adicional Yacimiento</t>
  </si>
  <si>
    <t>Subtotal A</t>
  </si>
  <si>
    <t>Proporción Aguinaldo</t>
  </si>
  <si>
    <t>Subtotal B</t>
  </si>
  <si>
    <t>Cs. Soc.</t>
  </si>
  <si>
    <t>Subtotal Remunerativo</t>
  </si>
  <si>
    <t>Diferencia Viandas x 22 dias x 2 viandas x dia</t>
  </si>
  <si>
    <t>Diferencia Viandas Desayuno</t>
  </si>
  <si>
    <t xml:space="preserve">Adicional s/ Acta Acuerdo Sindicato Petroleros </t>
  </si>
  <si>
    <t>Total</t>
  </si>
  <si>
    <t>DIFERENCIA HABERES REMUNERATIVOS</t>
  </si>
  <si>
    <t>DIFERENCIA HABERES NO REMUNERATIVOS</t>
  </si>
  <si>
    <t>SUBTOTAL A</t>
  </si>
  <si>
    <t>SUBTOTAL B</t>
  </si>
  <si>
    <t>CARGAS SOCIALES</t>
  </si>
  <si>
    <t>CONTRIBUCION EMPRESARIAL</t>
  </si>
  <si>
    <t>ACUERDO COMPLEMENTARIO EXTRAORDINARIO</t>
  </si>
  <si>
    <t>MATRIZ DE REFERENCIAS</t>
  </si>
  <si>
    <t>CAT.</t>
  </si>
  <si>
    <t>Basico "Y"</t>
  </si>
  <si>
    <t>H. Viaje</t>
  </si>
  <si>
    <t>Exed. Hs. V.</t>
  </si>
  <si>
    <t>VIANDA</t>
  </si>
  <si>
    <t>DESAYUNO</t>
  </si>
  <si>
    <t>Premio Seguridad</t>
  </si>
  <si>
    <t>Bono Paz Social</t>
  </si>
  <si>
    <t>A</t>
  </si>
  <si>
    <t>B</t>
  </si>
  <si>
    <t>C</t>
  </si>
  <si>
    <t>Incremento Salarial</t>
  </si>
  <si>
    <t>Adicional Disponibilidad</t>
  </si>
  <si>
    <t>Presentismo PJ</t>
  </si>
  <si>
    <t>Contribución Sindical PJ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</si>
  <si>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</si>
  <si>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</si>
  <si>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</si>
  <si>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</si>
  <si>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</si>
  <si>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</si>
  <si>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</si>
  <si>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</si>
  <si>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</si>
  <si>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</si>
  <si>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Adicional Traslado</t>
  </si>
  <si>
    <t>NO_REMUNER MARZO 2014</t>
  </si>
  <si>
    <t>HABERES REMUNERATIVOS MARZO 2014</t>
  </si>
  <si>
    <t>Contribucion Extraordinaria</t>
  </si>
  <si>
    <t>HABERES REMUNERATIVOS CON AJUSTE 17%</t>
  </si>
  <si>
    <t>HABERES NO REMUNERATIVOS CON AJUSTE 17%</t>
  </si>
  <si>
    <t>PETROLEROS JERARQUICOS</t>
  </si>
  <si>
    <t>SERVICIO DE FLUSH BY</t>
  </si>
  <si>
    <t>SERVICIO DE DESPARAFINACION Y PORTA CONTENEDORES PETROLEROS PRIVADOS</t>
  </si>
  <si>
    <t>Emilio</t>
  </si>
  <si>
    <t>Jonathan</t>
  </si>
  <si>
    <t>Franco</t>
  </si>
  <si>
    <t xml:space="preserve">Fuentes </t>
  </si>
  <si>
    <t xml:space="preserve">Ibazeta </t>
  </si>
  <si>
    <t xml:space="preserve">Perez </t>
  </si>
  <si>
    <t xml:space="preserve">Techera </t>
  </si>
  <si>
    <t>Ruben</t>
  </si>
  <si>
    <t>Alejandro</t>
  </si>
  <si>
    <t>Adicional Torre</t>
  </si>
  <si>
    <t>SERVICIO DE ASISTENCIA DE EQUIPOS DE TORRE Y TRATAMIENTO DE PARAFINAS</t>
  </si>
  <si>
    <t>PORCENTAJE AFECTACION</t>
  </si>
  <si>
    <t>SERVICIO DE DESPARAFINACION Y PORTA CONTENEDORES PETROLEROS PRIVADOS MAYO 2014</t>
  </si>
  <si>
    <t>SERVICIO DE ASISTENCIA DE EQUIPOS DE TORRE Y TRATAMIENTO DE PARAFINAS MAYO 2014</t>
  </si>
  <si>
    <t>SERVICIO DE FLUSH BY MAYO 2014</t>
  </si>
  <si>
    <t>PETROLEROS JERARQUICOS MAYO 2014</t>
  </si>
</sst>
</file>

<file path=xl/styles.xml><?xml version="1.0" encoding="utf-8"?>
<styleSheet xmlns="http://schemas.openxmlformats.org/spreadsheetml/2006/main">
  <numFmts count="11">
    <numFmt numFmtId="6" formatCode="&quot;$&quot;\ #,##0;[Red]&quot;$&quot;\ \-#,##0"/>
    <numFmt numFmtId="44" formatCode="_ &quot;$&quot;\ * #,##0.00_ ;_ &quot;$&quot;\ * \-#,##0.00_ ;_ &quot;$&quot;\ * &quot;-&quot;??_ ;_ @_ "/>
    <numFmt numFmtId="43" formatCode="_ * #,##0.00_ ;_ * \-#,##0.00_ ;_ * &quot;-&quot;??_ ;_ @_ "/>
    <numFmt numFmtId="164" formatCode="_ [$$-2C0A]\ * #,##0.00_ ;_ [$$-2C0A]\ * \-#,##0.00_ ;_ [$$-2C0A]\ * &quot;-&quot;??_ ;_ @_ "/>
    <numFmt numFmtId="165" formatCode="_ [$$-2C0A]\ * #,##0_ ;_ [$$-2C0A]\ * \-#,##0_ ;_ [$$-2C0A]\ * &quot;-&quot;_ ;_ @_ "/>
    <numFmt numFmtId="166" formatCode="[$$-2C0A]\ #,##0.00"/>
    <numFmt numFmtId="167" formatCode="_ * #,##0_ ;_ * \-#,##0_ ;_ * &quot;-&quot;??_ ;_ @_ "/>
    <numFmt numFmtId="168" formatCode="&quot;$ &quot;#,##0.00"/>
    <numFmt numFmtId="169" formatCode="0.0%"/>
    <numFmt numFmtId="170" formatCode="&quot;$&quot;\ #,##0"/>
    <numFmt numFmtId="171" formatCode="[$$-2C0A]\ #,##0;[$$-2C0A]\ \-#,##0"/>
  </numFmts>
  <fonts count="19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8"/>
      <name val="Arial"/>
      <family val="2"/>
    </font>
    <font>
      <b/>
      <sz val="8"/>
      <color indexed="10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27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3">
    <xf numFmtId="0" fontId="0" fillId="0" borderId="0" xfId="0"/>
    <xf numFmtId="0" fontId="3" fillId="2" borderId="1" xfId="0" quotePrefix="1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3" xfId="0" quotePrefix="1" applyFont="1" applyFill="1" applyBorder="1" applyAlignment="1">
      <alignment horizontal="center"/>
    </xf>
    <xf numFmtId="44" fontId="14" fillId="0" borderId="0" xfId="2" applyFont="1"/>
    <xf numFmtId="44" fontId="0" fillId="0" borderId="0" xfId="0" applyNumberFormat="1"/>
    <xf numFmtId="0" fontId="3" fillId="0" borderId="4" xfId="0" applyFont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7" fontId="3" fillId="0" borderId="6" xfId="0" applyNumberFormat="1" applyFont="1" applyBorder="1" applyAlignment="1">
      <alignment horizontal="center" wrapText="1"/>
    </xf>
    <xf numFmtId="9" fontId="3" fillId="0" borderId="6" xfId="0" applyNumberFormat="1" applyFont="1" applyBorder="1" applyAlignment="1">
      <alignment horizontal="center" wrapText="1"/>
    </xf>
    <xf numFmtId="10" fontId="3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165" fontId="8" fillId="0" borderId="3" xfId="2" applyNumberFormat="1" applyFont="1" applyBorder="1" applyAlignment="1">
      <alignment horizontal="center"/>
    </xf>
    <xf numFmtId="165" fontId="8" fillId="0" borderId="8" xfId="2" applyNumberFormat="1" applyFont="1" applyBorder="1" applyAlignment="1">
      <alignment horizontal="center"/>
    </xf>
    <xf numFmtId="164" fontId="8" fillId="0" borderId="0" xfId="2" applyNumberFormat="1" applyFont="1" applyBorder="1" applyAlignment="1">
      <alignment horizontal="center"/>
    </xf>
    <xf numFmtId="166" fontId="8" fillId="0" borderId="0" xfId="2" applyNumberFormat="1" applyFont="1" applyBorder="1" applyAlignment="1">
      <alignment horizontal="center"/>
    </xf>
    <xf numFmtId="166" fontId="8" fillId="0" borderId="0" xfId="3" applyNumberFormat="1" applyFont="1" applyFill="1" applyBorder="1" applyAlignment="1">
      <alignment horizontal="center"/>
    </xf>
    <xf numFmtId="166" fontId="8" fillId="0" borderId="0" xfId="2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quotePrefix="1" applyFont="1"/>
    <xf numFmtId="9" fontId="3" fillId="0" borderId="4" xfId="0" applyNumberFormat="1" applyFont="1" applyBorder="1" applyAlignment="1">
      <alignment horizontal="center" wrapText="1"/>
    </xf>
    <xf numFmtId="10" fontId="3" fillId="0" borderId="4" xfId="0" applyNumberFormat="1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164" fontId="8" fillId="0" borderId="10" xfId="0" applyNumberFormat="1" applyFont="1" applyBorder="1" applyAlignment="1">
      <alignment horizontal="center"/>
    </xf>
    <xf numFmtId="164" fontId="0" fillId="0" borderId="10" xfId="0" quotePrefix="1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44" fontId="3" fillId="2" borderId="11" xfId="2" applyFont="1" applyFill="1" applyBorder="1" applyAlignment="1">
      <alignment horizont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0" fontId="11" fillId="6" borderId="17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167" fontId="11" fillId="0" borderId="21" xfId="1" applyNumberFormat="1" applyFont="1" applyFill="1" applyBorder="1" applyAlignment="1">
      <alignment horizontal="center" vertical="center"/>
    </xf>
    <xf numFmtId="167" fontId="11" fillId="7" borderId="22" xfId="1" applyNumberFormat="1" applyFont="1" applyFill="1" applyBorder="1" applyAlignment="1">
      <alignment horizontal="center" vertical="center"/>
    </xf>
    <xf numFmtId="168" fontId="11" fillId="8" borderId="23" xfId="0" applyNumberFormat="1" applyFont="1" applyFill="1" applyBorder="1" applyAlignment="1">
      <alignment horizontal="center" vertical="center"/>
    </xf>
    <xf numFmtId="168" fontId="11" fillId="8" borderId="24" xfId="0" applyNumberFormat="1" applyFont="1" applyFill="1" applyBorder="1" applyAlignment="1">
      <alignment horizontal="center" vertical="center"/>
    </xf>
    <xf numFmtId="168" fontId="11" fillId="8" borderId="25" xfId="0" applyNumberFormat="1" applyFont="1" applyFill="1" applyBorder="1" applyAlignment="1">
      <alignment horizontal="center" vertical="center"/>
    </xf>
    <xf numFmtId="168" fontId="11" fillId="8" borderId="26" xfId="0" applyNumberFormat="1" applyFont="1" applyFill="1" applyBorder="1" applyAlignment="1">
      <alignment horizontal="center" vertical="center"/>
    </xf>
    <xf numFmtId="168" fontId="11" fillId="9" borderId="27" xfId="0" applyNumberFormat="1" applyFont="1" applyFill="1" applyBorder="1" applyAlignment="1">
      <alignment horizontal="center" vertical="center"/>
    </xf>
    <xf numFmtId="168" fontId="11" fillId="8" borderId="28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9" fontId="13" fillId="9" borderId="24" xfId="4" applyFont="1" applyFill="1" applyBorder="1" applyAlignment="1">
      <alignment horizontal="center" vertical="center"/>
    </xf>
    <xf numFmtId="168" fontId="11" fillId="9" borderId="23" xfId="0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8" fontId="11" fillId="0" borderId="0" xfId="0" applyNumberFormat="1" applyFont="1" applyBorder="1" applyAlignment="1">
      <alignment horizontal="center" vertical="center"/>
    </xf>
    <xf numFmtId="9" fontId="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9" fontId="11" fillId="0" borderId="0" xfId="0" applyNumberFormat="1" applyFont="1" applyFill="1" applyBorder="1" applyAlignment="1">
      <alignment horizontal="center" vertical="center"/>
    </xf>
    <xf numFmtId="169" fontId="11" fillId="0" borderId="0" xfId="0" applyNumberFormat="1" applyFont="1" applyFill="1" applyBorder="1" applyAlignment="1">
      <alignment horizontal="center" vertical="center"/>
    </xf>
    <xf numFmtId="10" fontId="11" fillId="0" borderId="0" xfId="0" applyNumberFormat="1" applyFont="1" applyFill="1" applyBorder="1" applyAlignment="1">
      <alignment horizontal="center" vertical="center"/>
    </xf>
    <xf numFmtId="167" fontId="11" fillId="0" borderId="29" xfId="1" applyNumberFormat="1" applyFont="1" applyFill="1" applyBorder="1" applyAlignment="1">
      <alignment horizontal="center" vertical="center"/>
    </xf>
    <xf numFmtId="167" fontId="11" fillId="7" borderId="30" xfId="1" applyNumberFormat="1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168" fontId="11" fillId="0" borderId="32" xfId="0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center" vertical="center"/>
    </xf>
    <xf numFmtId="9" fontId="15" fillId="0" borderId="34" xfId="0" applyNumberFormat="1" applyFont="1" applyFill="1" applyBorder="1" applyAlignment="1">
      <alignment horizontal="center"/>
    </xf>
    <xf numFmtId="165" fontId="8" fillId="0" borderId="0" xfId="2" applyNumberFormat="1" applyFont="1" applyBorder="1" applyAlignment="1">
      <alignment horizontal="center"/>
    </xf>
    <xf numFmtId="0" fontId="16" fillId="0" borderId="0" xfId="0" applyFont="1"/>
    <xf numFmtId="6" fontId="3" fillId="0" borderId="6" xfId="0" applyNumberFormat="1" applyFont="1" applyBorder="1" applyAlignment="1">
      <alignment horizontal="center" wrapText="1"/>
    </xf>
    <xf numFmtId="9" fontId="3" fillId="0" borderId="35" xfId="0" applyNumberFormat="1" applyFont="1" applyBorder="1" applyAlignment="1">
      <alignment horizontal="center" wrapText="1"/>
    </xf>
    <xf numFmtId="164" fontId="0" fillId="0" borderId="0" xfId="0" applyNumberFormat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17" fillId="0" borderId="34" xfId="0" applyNumberFormat="1" applyFont="1" applyFill="1" applyBorder="1" applyAlignment="1">
      <alignment horizontal="center"/>
    </xf>
    <xf numFmtId="9" fontId="17" fillId="0" borderId="34" xfId="0" applyNumberFormat="1" applyFont="1" applyFill="1" applyBorder="1" applyAlignment="1">
      <alignment horizontal="center"/>
    </xf>
    <xf numFmtId="164" fontId="17" fillId="0" borderId="6" xfId="0" applyNumberFormat="1" applyFont="1" applyFill="1" applyBorder="1" applyAlignment="1">
      <alignment horizontal="center"/>
    </xf>
    <xf numFmtId="9" fontId="17" fillId="0" borderId="6" xfId="0" applyNumberFormat="1" applyFont="1" applyFill="1" applyBorder="1" applyAlignment="1">
      <alignment horizontal="center"/>
    </xf>
    <xf numFmtId="0" fontId="8" fillId="0" borderId="6" xfId="0" quotePrefix="1" applyFont="1" applyFill="1" applyBorder="1"/>
    <xf numFmtId="0" fontId="8" fillId="0" borderId="34" xfId="0" applyFont="1" applyFill="1" applyBorder="1"/>
    <xf numFmtId="0" fontId="8" fillId="0" borderId="6" xfId="0" applyFont="1" applyFill="1" applyBorder="1"/>
    <xf numFmtId="0" fontId="8" fillId="0" borderId="36" xfId="0" applyFont="1" applyFill="1" applyBorder="1"/>
    <xf numFmtId="0" fontId="8" fillId="0" borderId="37" xfId="0" applyFont="1" applyFill="1" applyBorder="1"/>
    <xf numFmtId="0" fontId="8" fillId="0" borderId="38" xfId="0" applyFont="1" applyFill="1" applyBorder="1"/>
    <xf numFmtId="165" fontId="8" fillId="0" borderId="34" xfId="2" applyNumberFormat="1" applyFont="1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0" fillId="0" borderId="39" xfId="0" applyBorder="1"/>
    <xf numFmtId="0" fontId="8" fillId="0" borderId="40" xfId="0" applyFont="1" applyFill="1" applyBorder="1"/>
    <xf numFmtId="164" fontId="17" fillId="0" borderId="4" xfId="0" applyNumberFormat="1" applyFont="1" applyFill="1" applyBorder="1" applyAlignment="1">
      <alignment horizontal="center"/>
    </xf>
    <xf numFmtId="9" fontId="17" fillId="0" borderId="4" xfId="0" applyNumberFormat="1" applyFont="1" applyFill="1" applyBorder="1" applyAlignment="1">
      <alignment horizontal="center"/>
    </xf>
    <xf numFmtId="0" fontId="0" fillId="0" borderId="41" xfId="0" applyBorder="1"/>
    <xf numFmtId="9" fontId="15" fillId="0" borderId="40" xfId="0" applyNumberFormat="1" applyFont="1" applyFill="1" applyBorder="1" applyAlignment="1">
      <alignment horizontal="center"/>
    </xf>
    <xf numFmtId="0" fontId="8" fillId="0" borderId="4" xfId="0" quotePrefix="1" applyFont="1" applyFill="1" applyBorder="1"/>
    <xf numFmtId="0" fontId="16" fillId="0" borderId="37" xfId="0" applyFont="1" applyBorder="1"/>
    <xf numFmtId="0" fontId="0" fillId="0" borderId="42" xfId="0" applyBorder="1"/>
    <xf numFmtId="164" fontId="0" fillId="0" borderId="42" xfId="0" applyNumberFormat="1" applyBorder="1"/>
    <xf numFmtId="0" fontId="0" fillId="0" borderId="43" xfId="0" applyBorder="1"/>
    <xf numFmtId="164" fontId="0" fillId="0" borderId="43" xfId="0" applyNumberFormat="1" applyBorder="1"/>
    <xf numFmtId="0" fontId="18" fillId="8" borderId="6" xfId="0" applyFont="1" applyFill="1" applyBorder="1" applyAlignment="1">
      <alignment horizontal="center"/>
    </xf>
    <xf numFmtId="170" fontId="8" fillId="0" borderId="3" xfId="2" applyNumberFormat="1" applyFont="1" applyBorder="1" applyAlignment="1">
      <alignment horizontal="center"/>
    </xf>
    <xf numFmtId="170" fontId="8" fillId="0" borderId="40" xfId="2" applyNumberFormat="1" applyFont="1" applyBorder="1" applyAlignment="1">
      <alignment horizontal="center"/>
    </xf>
    <xf numFmtId="170" fontId="8" fillId="0" borderId="40" xfId="3" applyNumberFormat="1" applyFont="1" applyFill="1" applyBorder="1" applyAlignment="1">
      <alignment horizontal="center"/>
    </xf>
    <xf numFmtId="170" fontId="3" fillId="2" borderId="7" xfId="2" applyNumberFormat="1" applyFont="1" applyFill="1" applyBorder="1" applyAlignment="1">
      <alignment horizontal="center"/>
    </xf>
    <xf numFmtId="170" fontId="8" fillId="0" borderId="8" xfId="2" applyNumberFormat="1" applyFont="1" applyBorder="1" applyAlignment="1">
      <alignment horizontal="center"/>
    </xf>
    <xf numFmtId="170" fontId="8" fillId="0" borderId="34" xfId="2" applyNumberFormat="1" applyFont="1" applyBorder="1" applyAlignment="1">
      <alignment horizontal="center"/>
    </xf>
    <xf numFmtId="170" fontId="8" fillId="0" borderId="34" xfId="3" applyNumberFormat="1" applyFont="1" applyFill="1" applyBorder="1" applyAlignment="1">
      <alignment horizontal="center"/>
    </xf>
    <xf numFmtId="165" fontId="1" fillId="5" borderId="6" xfId="0" applyNumberFormat="1" applyFont="1" applyFill="1" applyBorder="1"/>
    <xf numFmtId="171" fontId="1" fillId="5" borderId="6" xfId="0" applyNumberFormat="1" applyFont="1" applyFill="1" applyBorder="1"/>
    <xf numFmtId="170" fontId="1" fillId="5" borderId="6" xfId="0" applyNumberFormat="1" applyFont="1" applyFill="1" applyBorder="1"/>
    <xf numFmtId="170" fontId="8" fillId="0" borderId="0" xfId="0" applyNumberFormat="1" applyFont="1" applyBorder="1" applyAlignment="1">
      <alignment horizontal="center"/>
    </xf>
    <xf numFmtId="170" fontId="3" fillId="2" borderId="11" xfId="2" applyNumberFormat="1" applyFont="1" applyFill="1" applyBorder="1" applyAlignment="1">
      <alignment horizontal="center" wrapText="1"/>
    </xf>
    <xf numFmtId="170" fontId="1" fillId="5" borderId="34" xfId="0" applyNumberFormat="1" applyFont="1" applyFill="1" applyBorder="1"/>
    <xf numFmtId="165" fontId="18" fillId="0" borderId="4" xfId="0" applyNumberFormat="1" applyFont="1" applyBorder="1"/>
    <xf numFmtId="165" fontId="18" fillId="0" borderId="6" xfId="0" applyNumberFormat="1" applyFont="1" applyBorder="1"/>
    <xf numFmtId="165" fontId="18" fillId="0" borderId="34" xfId="0" applyNumberFormat="1" applyFont="1" applyBorder="1"/>
    <xf numFmtId="0" fontId="3" fillId="0" borderId="4" xfId="0" applyFont="1" applyFill="1" applyBorder="1" applyAlignment="1">
      <alignment horizontal="center" wrapText="1"/>
    </xf>
    <xf numFmtId="0" fontId="3" fillId="2" borderId="44" xfId="0" quotePrefix="1" applyFont="1" applyFill="1" applyBorder="1" applyAlignment="1">
      <alignment horizontal="center"/>
    </xf>
    <xf numFmtId="0" fontId="3" fillId="2" borderId="45" xfId="0" quotePrefix="1" applyFont="1" applyFill="1" applyBorder="1" applyAlignment="1">
      <alignment horizontal="center"/>
    </xf>
    <xf numFmtId="0" fontId="8" fillId="0" borderId="40" xfId="0" quotePrefix="1" applyFont="1" applyFill="1" applyBorder="1"/>
    <xf numFmtId="0" fontId="8" fillId="0" borderId="34" xfId="0" quotePrefix="1" applyFont="1" applyFill="1" applyBorder="1"/>
    <xf numFmtId="9" fontId="8" fillId="0" borderId="4" xfId="0" quotePrefix="1" applyNumberFormat="1" applyFont="1" applyFill="1" applyBorder="1" applyAlignment="1">
      <alignment horizontal="center" vertical="center"/>
    </xf>
    <xf numFmtId="9" fontId="8" fillId="0" borderId="40" xfId="0" quotePrefix="1" applyNumberFormat="1" applyFont="1" applyFill="1" applyBorder="1" applyAlignment="1">
      <alignment horizontal="center" vertical="center"/>
    </xf>
    <xf numFmtId="9" fontId="8" fillId="0" borderId="40" xfId="0" applyNumberFormat="1" applyFont="1" applyFill="1" applyBorder="1" applyAlignment="1">
      <alignment horizontal="center" vertical="center"/>
    </xf>
    <xf numFmtId="9" fontId="8" fillId="0" borderId="34" xfId="0" quotePrefix="1" applyNumberFormat="1" applyFont="1" applyFill="1" applyBorder="1" applyAlignment="1">
      <alignment horizontal="center" vertical="center"/>
    </xf>
    <xf numFmtId="0" fontId="8" fillId="0" borderId="46" xfId="0" quotePrefix="1" applyFont="1" applyFill="1" applyBorder="1"/>
    <xf numFmtId="0" fontId="8" fillId="0" borderId="4" xfId="0" applyFont="1" applyFill="1" applyBorder="1"/>
    <xf numFmtId="9" fontId="15" fillId="0" borderId="4" xfId="0" applyNumberFormat="1" applyFont="1" applyFill="1" applyBorder="1" applyAlignment="1">
      <alignment horizontal="center"/>
    </xf>
    <xf numFmtId="0" fontId="5" fillId="5" borderId="47" xfId="0" applyFont="1" applyFill="1" applyBorder="1" applyAlignment="1">
      <alignment horizontal="center"/>
    </xf>
    <xf numFmtId="0" fontId="5" fillId="5" borderId="4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 vertical="center" wrapText="1"/>
    </xf>
    <xf numFmtId="164" fontId="3" fillId="5" borderId="40" xfId="0" applyNumberFormat="1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/>
    </xf>
    <xf numFmtId="164" fontId="3" fillId="5" borderId="34" xfId="0" applyNumberFormat="1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</cellXfs>
  <cellStyles count="5">
    <cellStyle name="Millares" xfId="1" builtinId="3"/>
    <cellStyle name="Moneda" xfId="2" builtinId="4"/>
    <cellStyle name="Moneda_Hoja1" xfId="3"/>
    <cellStyle name="Normal" xfId="0" builtinId="0"/>
    <cellStyle name="Porcentual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6"/>
  <sheetViews>
    <sheetView tabSelected="1" topLeftCell="A57" workbookViewId="0">
      <pane xSplit="4" topLeftCell="E1" activePane="topRight" state="frozen"/>
      <selection pane="topRight" activeCell="B71" sqref="B71:H76"/>
    </sheetView>
  </sheetViews>
  <sheetFormatPr baseColWidth="10" defaultColWidth="11.42578125" defaultRowHeight="15"/>
  <cols>
    <col min="2" max="2" width="12" bestFit="1" customWidth="1"/>
    <col min="3" max="3" width="14.5703125" customWidth="1"/>
    <col min="4" max="4" width="39" customWidth="1"/>
    <col min="5" max="6" width="12.140625" bestFit="1" customWidth="1"/>
    <col min="7" max="7" width="9.85546875" customWidth="1"/>
    <col min="8" max="8" width="11.42578125" customWidth="1"/>
    <col min="9" max="9" width="9.85546875" customWidth="1"/>
    <col min="10" max="10" width="10" customWidth="1"/>
    <col min="11" max="11" width="9.28515625" customWidth="1"/>
    <col min="12" max="12" width="11" customWidth="1"/>
    <col min="13" max="13" width="9.28515625" customWidth="1"/>
    <col min="14" max="14" width="8.85546875" customWidth="1"/>
    <col min="15" max="16" width="10.7109375" customWidth="1"/>
    <col min="17" max="17" width="11.85546875" bestFit="1" customWidth="1"/>
    <col min="18" max="18" width="10.85546875" bestFit="1" customWidth="1"/>
    <col min="19" max="19" width="10.42578125" customWidth="1"/>
    <col min="20" max="21" width="10.7109375" customWidth="1"/>
    <col min="22" max="22" width="10" customWidth="1"/>
    <col min="23" max="23" width="11.85546875" bestFit="1" customWidth="1"/>
    <col min="24" max="24" width="14.42578125" bestFit="1" customWidth="1"/>
    <col min="25" max="25" width="12" customWidth="1"/>
    <col min="26" max="26" width="12.7109375" customWidth="1"/>
    <col min="27" max="27" width="15.7109375" customWidth="1"/>
    <col min="28" max="28" width="11.5703125" customWidth="1"/>
    <col min="29" max="29" width="12.42578125" bestFit="1" customWidth="1"/>
    <col min="30" max="30" width="11.42578125" bestFit="1" customWidth="1"/>
  </cols>
  <sheetData>
    <row r="1" spans="1:28">
      <c r="A1" s="80" t="s">
        <v>140</v>
      </c>
    </row>
    <row r="3" spans="1:28" ht="42.75" customHeight="1" thickBot="1">
      <c r="B3" s="144"/>
      <c r="C3" s="145"/>
      <c r="D3" s="3"/>
      <c r="E3" s="146" t="s">
        <v>62</v>
      </c>
      <c r="F3" s="146" t="s">
        <v>139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8" t="s">
        <v>71</v>
      </c>
      <c r="M3" s="8" t="s">
        <v>72</v>
      </c>
      <c r="N3" s="8" t="s">
        <v>73</v>
      </c>
      <c r="O3" s="8" t="s">
        <v>74</v>
      </c>
      <c r="P3" s="8" t="s">
        <v>75</v>
      </c>
      <c r="Q3" s="8" t="s">
        <v>76</v>
      </c>
      <c r="R3" s="8" t="s">
        <v>119</v>
      </c>
      <c r="S3" s="8" t="s">
        <v>77</v>
      </c>
      <c r="T3" s="130" t="s">
        <v>78</v>
      </c>
      <c r="U3" s="9" t="s">
        <v>79</v>
      </c>
      <c r="V3" s="7" t="s">
        <v>80</v>
      </c>
      <c r="W3" s="7" t="s">
        <v>81</v>
      </c>
      <c r="X3" s="7" t="s">
        <v>82</v>
      </c>
      <c r="Y3" s="7" t="s">
        <v>83</v>
      </c>
      <c r="Z3" s="10" t="s">
        <v>122</v>
      </c>
      <c r="AA3" s="10" t="s">
        <v>84</v>
      </c>
      <c r="AB3" s="15" t="s">
        <v>85</v>
      </c>
    </row>
    <row r="4" spans="1:28" ht="26.25" customHeight="1">
      <c r="B4" s="131" t="s">
        <v>1</v>
      </c>
      <c r="C4" s="132" t="s">
        <v>2</v>
      </c>
      <c r="D4" s="4"/>
      <c r="E4" s="147"/>
      <c r="F4" s="147"/>
      <c r="G4" s="11"/>
      <c r="H4" s="11"/>
      <c r="I4" s="12"/>
      <c r="J4" s="12">
        <v>0.22</v>
      </c>
      <c r="K4" s="12">
        <v>0.33</v>
      </c>
      <c r="L4" s="12">
        <v>0.06</v>
      </c>
      <c r="M4" s="12">
        <v>0.08</v>
      </c>
      <c r="N4" s="12">
        <v>0.08</v>
      </c>
      <c r="O4" s="12">
        <v>0.01</v>
      </c>
      <c r="P4" s="12"/>
      <c r="Q4" s="12"/>
      <c r="R4" s="12"/>
      <c r="S4" s="12"/>
      <c r="T4" s="13">
        <v>8.3299999999999999E-2</v>
      </c>
      <c r="U4" s="13"/>
      <c r="V4" s="12">
        <v>0.56999999999999995</v>
      </c>
      <c r="W4" s="12"/>
      <c r="X4" s="14"/>
      <c r="Y4" s="14">
        <v>22</v>
      </c>
      <c r="Z4" s="81">
        <v>500</v>
      </c>
      <c r="AA4" s="82">
        <v>0.17</v>
      </c>
    </row>
    <row r="5" spans="1:28">
      <c r="A5">
        <v>1</v>
      </c>
      <c r="B5" s="107" t="s">
        <v>5</v>
      </c>
      <c r="C5" s="107" t="s">
        <v>6</v>
      </c>
      <c r="D5" s="107" t="s">
        <v>63</v>
      </c>
      <c r="E5" s="107" t="s">
        <v>65</v>
      </c>
      <c r="F5" s="135">
        <v>1</v>
      </c>
      <c r="G5" s="16">
        <v>6739</v>
      </c>
      <c r="H5" s="16">
        <f>+G5*1.17</f>
        <v>7884.6299999999992</v>
      </c>
      <c r="I5" s="114">
        <f>+H5-G5</f>
        <v>1145.6299999999992</v>
      </c>
      <c r="J5" s="114">
        <f>(I5)*$J$4</f>
        <v>252.03859999999983</v>
      </c>
      <c r="K5" s="114"/>
      <c r="L5" s="114">
        <f>+(I5+J5)*$L$4</f>
        <v>83.860115999999934</v>
      </c>
      <c r="M5" s="115">
        <f>+(I5+J5)*$M$4</f>
        <v>111.81348799999992</v>
      </c>
      <c r="N5" s="115">
        <f>+(J5+I5)*$N$4</f>
        <v>111.81348799999992</v>
      </c>
      <c r="O5" s="115">
        <f>+(J5+K5+I5)*$O$4</f>
        <v>13.97668599999999</v>
      </c>
      <c r="P5" s="115">
        <f>1483*0.17</f>
        <v>252.11</v>
      </c>
      <c r="Q5" s="115">
        <f>831*0.17</f>
        <v>141.27000000000001</v>
      </c>
      <c r="R5" s="115"/>
      <c r="S5" s="115">
        <f>SUM(I5:R5)</f>
        <v>2112.512377999999</v>
      </c>
      <c r="T5" s="115">
        <f>+$T$4*S5</f>
        <v>175.97228108739992</v>
      </c>
      <c r="U5" s="115">
        <f>+S5+T5</f>
        <v>2288.484659087399</v>
      </c>
      <c r="V5" s="115">
        <f>+U5*$V$4</f>
        <v>1304.4362556798174</v>
      </c>
      <c r="W5" s="115">
        <f>+U5+V5</f>
        <v>3592.9209147672163</v>
      </c>
      <c r="X5" s="115">
        <f>44*(129-110)</f>
        <v>836</v>
      </c>
      <c r="Y5" s="116"/>
      <c r="Z5" s="116">
        <v>500</v>
      </c>
      <c r="AA5" s="116">
        <f>1330.6*$AA$4</f>
        <v>226.202</v>
      </c>
      <c r="AB5" s="117">
        <f>SUM(W5:AA5)*F5</f>
        <v>5155.1229147672166</v>
      </c>
    </row>
    <row r="6" spans="1:28">
      <c r="A6">
        <f>1+A5</f>
        <v>2</v>
      </c>
      <c r="B6" s="133" t="s">
        <v>7</v>
      </c>
      <c r="C6" s="133" t="s">
        <v>8</v>
      </c>
      <c r="D6" s="133" t="s">
        <v>63</v>
      </c>
      <c r="E6" s="133" t="s">
        <v>65</v>
      </c>
      <c r="F6" s="136">
        <v>0.35</v>
      </c>
      <c r="G6" s="16">
        <v>5299</v>
      </c>
      <c r="H6" s="16">
        <f t="shared" ref="H6:H24" si="0">+G6*1.17</f>
        <v>6199.83</v>
      </c>
      <c r="I6" s="114">
        <f t="shared" ref="I6:I17" si="1">+H6-G6</f>
        <v>900.82999999999993</v>
      </c>
      <c r="J6" s="114">
        <f>(I6)*$J$4</f>
        <v>198.18259999999998</v>
      </c>
      <c r="K6" s="114"/>
      <c r="L6" s="114">
        <f>+(I6+J6)*$L$4</f>
        <v>65.940755999999993</v>
      </c>
      <c r="M6" s="115"/>
      <c r="N6" s="115"/>
      <c r="O6" s="115">
        <f t="shared" ref="O6:O24" si="2">+(J6+K6+I6)*$O$4</f>
        <v>10.990126</v>
      </c>
      <c r="P6" s="115">
        <f t="shared" ref="P6:P37" si="3">1483*0.17</f>
        <v>252.11</v>
      </c>
      <c r="Q6" s="115">
        <f t="shared" ref="Q6:Q37" si="4">831*0.17</f>
        <v>141.27000000000001</v>
      </c>
      <c r="R6" s="115"/>
      <c r="S6" s="115">
        <f t="shared" ref="S6:S27" si="5">SUM(I6:R6)</f>
        <v>1569.3234819999998</v>
      </c>
      <c r="T6" s="115">
        <f t="shared" ref="T6:T24" si="6">+$T$4*S6</f>
        <v>130.72464605059997</v>
      </c>
      <c r="U6" s="115">
        <f t="shared" ref="U6:U24" si="7">+S6+T6</f>
        <v>1700.0481280505996</v>
      </c>
      <c r="V6" s="115">
        <f t="shared" ref="V6:V24" si="8">+U6*$V$4</f>
        <v>969.02743298884172</v>
      </c>
      <c r="W6" s="115">
        <f t="shared" ref="W6:W24" si="9">+U6+V6</f>
        <v>2669.0755610394413</v>
      </c>
      <c r="X6" s="115">
        <f t="shared" ref="X6:X37" si="10">44*(129-110)</f>
        <v>836</v>
      </c>
      <c r="Y6" s="116"/>
      <c r="Z6" s="116">
        <v>500</v>
      </c>
      <c r="AA6" s="116"/>
      <c r="AB6" s="117">
        <f t="shared" ref="AB6:AB27" si="11">SUM(W6:AA6)*F6</f>
        <v>1401.7764463638043</v>
      </c>
    </row>
    <row r="7" spans="1:28">
      <c r="A7">
        <f t="shared" ref="A7:A27" si="12">1+A6</f>
        <v>3</v>
      </c>
      <c r="B7" s="133" t="s">
        <v>9</v>
      </c>
      <c r="C7" s="133" t="s">
        <v>10</v>
      </c>
      <c r="D7" s="133" t="s">
        <v>63</v>
      </c>
      <c r="E7" s="133" t="s">
        <v>65</v>
      </c>
      <c r="F7" s="136">
        <v>1</v>
      </c>
      <c r="G7" s="16">
        <v>4649</v>
      </c>
      <c r="H7" s="16">
        <f t="shared" si="0"/>
        <v>5439.33</v>
      </c>
      <c r="I7" s="114">
        <f t="shared" si="1"/>
        <v>790.32999999999993</v>
      </c>
      <c r="J7" s="114"/>
      <c r="K7" s="114">
        <f>+I7*$K$4</f>
        <v>260.80889999999999</v>
      </c>
      <c r="L7" s="114">
        <f>+(I7+J7+K7)*$L$4</f>
        <v>63.068333999999993</v>
      </c>
      <c r="M7" s="115">
        <f t="shared" ref="M7:M24" si="13">+(I7+J7)*$M$4</f>
        <v>63.226399999999998</v>
      </c>
      <c r="N7" s="115">
        <f t="shared" ref="N7:N24" si="14">+(J7+I7)*$N$4</f>
        <v>63.226399999999998</v>
      </c>
      <c r="O7" s="115">
        <f t="shared" si="2"/>
        <v>10.511388999999999</v>
      </c>
      <c r="P7" s="115">
        <f>931.4*0.17</f>
        <v>158.33799999999999</v>
      </c>
      <c r="Q7" s="115">
        <f t="shared" si="4"/>
        <v>141.27000000000001</v>
      </c>
      <c r="R7" s="115">
        <f>+(I7+K7+N7+O7+P7+R94)*0.1*22/30</f>
        <v>94.10241052666666</v>
      </c>
      <c r="S7" s="115">
        <f t="shared" si="5"/>
        <v>1644.8818335266667</v>
      </c>
      <c r="T7" s="115">
        <f t="shared" si="6"/>
        <v>137.01865673277135</v>
      </c>
      <c r="U7" s="115">
        <f t="shared" si="7"/>
        <v>1781.9004902594381</v>
      </c>
      <c r="V7" s="115">
        <f t="shared" si="8"/>
        <v>1015.6832794478796</v>
      </c>
      <c r="W7" s="115">
        <f t="shared" si="9"/>
        <v>2797.5837697073175</v>
      </c>
      <c r="X7" s="115">
        <f t="shared" si="10"/>
        <v>836</v>
      </c>
      <c r="Y7" s="116">
        <f>+(36-31)*$Y$4</f>
        <v>110</v>
      </c>
      <c r="Z7" s="116">
        <v>500</v>
      </c>
      <c r="AA7" s="116">
        <f>931.4*$AA$4</f>
        <v>158.33799999999999</v>
      </c>
      <c r="AB7" s="117">
        <f t="shared" si="11"/>
        <v>4401.9217697073173</v>
      </c>
    </row>
    <row r="8" spans="1:28">
      <c r="A8">
        <f t="shared" si="12"/>
        <v>4</v>
      </c>
      <c r="B8" s="133" t="s">
        <v>11</v>
      </c>
      <c r="C8" s="133" t="s">
        <v>12</v>
      </c>
      <c r="D8" s="133" t="s">
        <v>63</v>
      </c>
      <c r="E8" s="133" t="s">
        <v>65</v>
      </c>
      <c r="F8" s="136">
        <v>1</v>
      </c>
      <c r="G8" s="16">
        <v>6739</v>
      </c>
      <c r="H8" s="16">
        <f t="shared" si="0"/>
        <v>7884.6299999999992</v>
      </c>
      <c r="I8" s="114">
        <f t="shared" si="1"/>
        <v>1145.6299999999992</v>
      </c>
      <c r="J8" s="114"/>
      <c r="K8" s="114">
        <f>+I8*$K$4</f>
        <v>378.05789999999973</v>
      </c>
      <c r="L8" s="114">
        <f t="shared" ref="L8:L24" si="15">+(I8+J8+K8)*$L$4</f>
        <v>91.42127399999994</v>
      </c>
      <c r="M8" s="115">
        <f t="shared" si="13"/>
        <v>91.650399999999934</v>
      </c>
      <c r="N8" s="115">
        <f t="shared" si="14"/>
        <v>91.650399999999934</v>
      </c>
      <c r="O8" s="115">
        <f t="shared" si="2"/>
        <v>15.236878999999989</v>
      </c>
      <c r="P8" s="115">
        <f t="shared" si="3"/>
        <v>252.11</v>
      </c>
      <c r="Q8" s="115">
        <f t="shared" si="4"/>
        <v>141.27000000000001</v>
      </c>
      <c r="R8" s="115">
        <f>+(I8+K8+N8+O8+P8+R95)*0.1*22/30</f>
        <v>138.06357979333328</v>
      </c>
      <c r="S8" s="115">
        <f t="shared" si="5"/>
        <v>2345.0904327933322</v>
      </c>
      <c r="T8" s="115">
        <f t="shared" si="6"/>
        <v>195.34603305168457</v>
      </c>
      <c r="U8" s="115">
        <f t="shared" si="7"/>
        <v>2540.4364658450168</v>
      </c>
      <c r="V8" s="115">
        <f t="shared" si="8"/>
        <v>1448.0487855316594</v>
      </c>
      <c r="W8" s="115">
        <f t="shared" si="9"/>
        <v>3988.4852513766764</v>
      </c>
      <c r="X8" s="115">
        <f t="shared" si="10"/>
        <v>836</v>
      </c>
      <c r="Y8" s="116">
        <f>+(36-31)*$Y$4</f>
        <v>110</v>
      </c>
      <c r="Z8" s="116">
        <v>500</v>
      </c>
      <c r="AA8" s="116">
        <f>1330.6*$AA$4</f>
        <v>226.202</v>
      </c>
      <c r="AB8" s="117">
        <f t="shared" si="11"/>
        <v>5660.6872513766766</v>
      </c>
    </row>
    <row r="9" spans="1:28">
      <c r="A9">
        <f t="shared" si="12"/>
        <v>5</v>
      </c>
      <c r="B9" s="133" t="s">
        <v>14</v>
      </c>
      <c r="C9" s="102" t="s">
        <v>15</v>
      </c>
      <c r="D9" s="102" t="s">
        <v>63</v>
      </c>
      <c r="E9" s="102" t="s">
        <v>65</v>
      </c>
      <c r="F9" s="137">
        <v>1</v>
      </c>
      <c r="G9" s="16">
        <v>6739</v>
      </c>
      <c r="H9" s="16">
        <f t="shared" si="0"/>
        <v>7884.6299999999992</v>
      </c>
      <c r="I9" s="114">
        <f t="shared" si="1"/>
        <v>1145.6299999999992</v>
      </c>
      <c r="J9" s="114">
        <f>(I9)*$J$4</f>
        <v>252.03859999999983</v>
      </c>
      <c r="K9" s="114"/>
      <c r="L9" s="114">
        <f t="shared" si="15"/>
        <v>83.860115999999934</v>
      </c>
      <c r="M9" s="115">
        <f t="shared" si="13"/>
        <v>111.81348799999992</v>
      </c>
      <c r="N9" s="115">
        <f t="shared" si="14"/>
        <v>111.81348799999992</v>
      </c>
      <c r="O9" s="115">
        <f t="shared" si="2"/>
        <v>13.97668599999999</v>
      </c>
      <c r="P9" s="115">
        <f t="shared" si="3"/>
        <v>252.11</v>
      </c>
      <c r="Q9" s="115">
        <f>791*0.17</f>
        <v>134.47</v>
      </c>
      <c r="R9" s="115"/>
      <c r="S9" s="115">
        <f t="shared" si="5"/>
        <v>2105.7123779999988</v>
      </c>
      <c r="T9" s="115">
        <f t="shared" si="6"/>
        <v>175.40584108739989</v>
      </c>
      <c r="U9" s="115">
        <f t="shared" si="7"/>
        <v>2281.1182190873988</v>
      </c>
      <c r="V9" s="115">
        <f t="shared" si="8"/>
        <v>1300.2373848798172</v>
      </c>
      <c r="W9" s="115">
        <f t="shared" si="9"/>
        <v>3581.3556039672158</v>
      </c>
      <c r="X9" s="115">
        <f t="shared" si="10"/>
        <v>836</v>
      </c>
      <c r="Y9" s="116"/>
      <c r="Z9" s="116">
        <v>500</v>
      </c>
      <c r="AA9" s="116"/>
      <c r="AB9" s="117">
        <f t="shared" si="11"/>
        <v>4917.3556039672158</v>
      </c>
    </row>
    <row r="10" spans="1:28">
      <c r="A10">
        <f t="shared" si="12"/>
        <v>6</v>
      </c>
      <c r="B10" s="133" t="s">
        <v>16</v>
      </c>
      <c r="C10" s="133" t="s">
        <v>17</v>
      </c>
      <c r="D10" s="133" t="s">
        <v>63</v>
      </c>
      <c r="E10" s="133" t="s">
        <v>65</v>
      </c>
      <c r="F10" s="136">
        <v>1</v>
      </c>
      <c r="G10" s="16">
        <v>6380</v>
      </c>
      <c r="H10" s="16">
        <f t="shared" si="0"/>
        <v>7464.5999999999995</v>
      </c>
      <c r="I10" s="114">
        <f t="shared" si="1"/>
        <v>1084.5999999999995</v>
      </c>
      <c r="J10" s="114">
        <f>(I10)*$J$4</f>
        <v>238.61199999999988</v>
      </c>
      <c r="K10" s="114"/>
      <c r="L10" s="114">
        <f t="shared" si="15"/>
        <v>79.392719999999954</v>
      </c>
      <c r="M10" s="115">
        <f t="shared" si="13"/>
        <v>105.85695999999994</v>
      </c>
      <c r="N10" s="115">
        <f t="shared" si="14"/>
        <v>105.85695999999994</v>
      </c>
      <c r="O10" s="115">
        <f t="shared" si="2"/>
        <v>13.232119999999993</v>
      </c>
      <c r="P10" s="115">
        <f t="shared" si="3"/>
        <v>252.11</v>
      </c>
      <c r="Q10" s="115">
        <f t="shared" si="4"/>
        <v>141.27000000000001</v>
      </c>
      <c r="R10" s="115"/>
      <c r="S10" s="115">
        <f t="shared" si="5"/>
        <v>2020.9307599999988</v>
      </c>
      <c r="T10" s="115">
        <f t="shared" si="6"/>
        <v>168.34353230799991</v>
      </c>
      <c r="U10" s="115">
        <f t="shared" si="7"/>
        <v>2189.2742923079986</v>
      </c>
      <c r="V10" s="115">
        <f t="shared" si="8"/>
        <v>1247.8863466155592</v>
      </c>
      <c r="W10" s="115">
        <f t="shared" si="9"/>
        <v>3437.1606389235576</v>
      </c>
      <c r="X10" s="115">
        <f t="shared" si="10"/>
        <v>836</v>
      </c>
      <c r="Y10" s="116"/>
      <c r="Z10" s="116">
        <v>500</v>
      </c>
      <c r="AA10" s="116">
        <f>1131*$AA$4</f>
        <v>192.27</v>
      </c>
      <c r="AB10" s="117">
        <f t="shared" si="11"/>
        <v>4965.430638923558</v>
      </c>
    </row>
    <row r="11" spans="1:28">
      <c r="A11">
        <f t="shared" si="12"/>
        <v>7</v>
      </c>
      <c r="B11" s="133" t="s">
        <v>18</v>
      </c>
      <c r="C11" s="133" t="s">
        <v>19</v>
      </c>
      <c r="D11" s="133" t="s">
        <v>63</v>
      </c>
      <c r="E11" s="133" t="s">
        <v>65</v>
      </c>
      <c r="F11" s="136">
        <v>1</v>
      </c>
      <c r="G11" s="16">
        <v>6739</v>
      </c>
      <c r="H11" s="16">
        <f t="shared" si="0"/>
        <v>7884.6299999999992</v>
      </c>
      <c r="I11" s="114">
        <f t="shared" si="1"/>
        <v>1145.6299999999992</v>
      </c>
      <c r="J11" s="114"/>
      <c r="K11" s="114">
        <f>+I11*$K$4</f>
        <v>378.05789999999973</v>
      </c>
      <c r="L11" s="114">
        <f t="shared" si="15"/>
        <v>91.42127399999994</v>
      </c>
      <c r="M11" s="115">
        <f t="shared" si="13"/>
        <v>91.650399999999934</v>
      </c>
      <c r="N11" s="115">
        <f t="shared" si="14"/>
        <v>91.650399999999934</v>
      </c>
      <c r="O11" s="115">
        <f t="shared" si="2"/>
        <v>15.236878999999989</v>
      </c>
      <c r="P11" s="115">
        <f t="shared" si="3"/>
        <v>252.11</v>
      </c>
      <c r="Q11" s="115">
        <f t="shared" si="4"/>
        <v>141.27000000000001</v>
      </c>
      <c r="R11" s="115">
        <f>+(I11+K11+N11+O11+P11+R98)*0.1*22/30</f>
        <v>138.06357979333328</v>
      </c>
      <c r="S11" s="115">
        <f t="shared" si="5"/>
        <v>2345.0904327933322</v>
      </c>
      <c r="T11" s="115">
        <f t="shared" si="6"/>
        <v>195.34603305168457</v>
      </c>
      <c r="U11" s="115">
        <f t="shared" si="7"/>
        <v>2540.4364658450168</v>
      </c>
      <c r="V11" s="115">
        <f t="shared" si="8"/>
        <v>1448.0487855316594</v>
      </c>
      <c r="W11" s="115">
        <f t="shared" si="9"/>
        <v>3988.4852513766764</v>
      </c>
      <c r="X11" s="115">
        <f t="shared" si="10"/>
        <v>836</v>
      </c>
      <c r="Y11" s="116">
        <f>+(36-31)*$Y$4</f>
        <v>110</v>
      </c>
      <c r="Z11" s="116">
        <v>500</v>
      </c>
      <c r="AA11" s="116">
        <f>1131*$AA$4</f>
        <v>192.27</v>
      </c>
      <c r="AB11" s="117">
        <f t="shared" si="11"/>
        <v>5626.7552513766768</v>
      </c>
    </row>
    <row r="12" spans="1:28">
      <c r="A12">
        <f t="shared" si="12"/>
        <v>8</v>
      </c>
      <c r="B12" s="133" t="s">
        <v>20</v>
      </c>
      <c r="C12" s="102" t="s">
        <v>61</v>
      </c>
      <c r="D12" s="102" t="s">
        <v>63</v>
      </c>
      <c r="E12" s="102" t="s">
        <v>65</v>
      </c>
      <c r="F12" s="137">
        <v>0.35</v>
      </c>
      <c r="G12" s="16">
        <v>4649</v>
      </c>
      <c r="H12" s="16">
        <f t="shared" si="0"/>
        <v>5439.33</v>
      </c>
      <c r="I12" s="114">
        <f t="shared" si="1"/>
        <v>790.32999999999993</v>
      </c>
      <c r="J12" s="114">
        <f>(I12)*$J$4</f>
        <v>173.87259999999998</v>
      </c>
      <c r="K12" s="114"/>
      <c r="L12" s="114">
        <f t="shared" si="15"/>
        <v>57.852155999999987</v>
      </c>
      <c r="M12" s="115">
        <f t="shared" si="13"/>
        <v>77.136207999999996</v>
      </c>
      <c r="N12" s="115">
        <f t="shared" si="14"/>
        <v>77.136207999999996</v>
      </c>
      <c r="O12" s="115">
        <f t="shared" si="2"/>
        <v>9.6420259999999995</v>
      </c>
      <c r="P12" s="115">
        <f t="shared" si="3"/>
        <v>252.11</v>
      </c>
      <c r="Q12" s="115">
        <f t="shared" si="4"/>
        <v>141.27000000000001</v>
      </c>
      <c r="R12" s="115"/>
      <c r="S12" s="115">
        <f t="shared" si="5"/>
        <v>1579.3491979999999</v>
      </c>
      <c r="T12" s="115">
        <f t="shared" si="6"/>
        <v>131.55978819339998</v>
      </c>
      <c r="U12" s="115">
        <f t="shared" si="7"/>
        <v>1710.9089861933999</v>
      </c>
      <c r="V12" s="115">
        <f t="shared" si="8"/>
        <v>975.21812213023782</v>
      </c>
      <c r="W12" s="115">
        <f t="shared" si="9"/>
        <v>2686.1271083236379</v>
      </c>
      <c r="X12" s="115">
        <f t="shared" si="10"/>
        <v>836</v>
      </c>
      <c r="Y12" s="116"/>
      <c r="Z12" s="116">
        <v>500</v>
      </c>
      <c r="AA12" s="116"/>
      <c r="AB12" s="117">
        <f t="shared" si="11"/>
        <v>1407.7444879132731</v>
      </c>
    </row>
    <row r="13" spans="1:28">
      <c r="A13">
        <f t="shared" si="12"/>
        <v>9</v>
      </c>
      <c r="B13" s="133" t="s">
        <v>20</v>
      </c>
      <c r="C13" s="133" t="s">
        <v>24</v>
      </c>
      <c r="D13" s="133" t="s">
        <v>63</v>
      </c>
      <c r="E13" s="133" t="s">
        <v>65</v>
      </c>
      <c r="F13" s="136">
        <v>1</v>
      </c>
      <c r="G13" s="16">
        <v>6739</v>
      </c>
      <c r="H13" s="16">
        <f t="shared" si="0"/>
        <v>7884.6299999999992</v>
      </c>
      <c r="I13" s="114">
        <f t="shared" si="1"/>
        <v>1145.6299999999992</v>
      </c>
      <c r="J13" s="114">
        <f>(I13)*$J$4</f>
        <v>252.03859999999983</v>
      </c>
      <c r="K13" s="114"/>
      <c r="L13" s="114">
        <f t="shared" si="15"/>
        <v>83.860115999999934</v>
      </c>
      <c r="M13" s="115">
        <f t="shared" si="13"/>
        <v>111.81348799999992</v>
      </c>
      <c r="N13" s="115">
        <f t="shared" si="14"/>
        <v>111.81348799999992</v>
      </c>
      <c r="O13" s="115">
        <f t="shared" si="2"/>
        <v>13.97668599999999</v>
      </c>
      <c r="P13" s="115">
        <f t="shared" si="3"/>
        <v>252.11</v>
      </c>
      <c r="Q13" s="115">
        <f t="shared" si="4"/>
        <v>141.27000000000001</v>
      </c>
      <c r="R13" s="115"/>
      <c r="S13" s="115">
        <f t="shared" si="5"/>
        <v>2112.512377999999</v>
      </c>
      <c r="T13" s="115">
        <f t="shared" si="6"/>
        <v>175.97228108739992</v>
      </c>
      <c r="U13" s="115">
        <f t="shared" si="7"/>
        <v>2288.484659087399</v>
      </c>
      <c r="V13" s="115">
        <f t="shared" si="8"/>
        <v>1304.4362556798174</v>
      </c>
      <c r="W13" s="115">
        <f t="shared" si="9"/>
        <v>3592.9209147672163</v>
      </c>
      <c r="X13" s="115">
        <f t="shared" si="10"/>
        <v>836</v>
      </c>
      <c r="Y13" s="116"/>
      <c r="Z13" s="116">
        <v>500</v>
      </c>
      <c r="AA13" s="116">
        <f>1330.6*$AA$4</f>
        <v>226.202</v>
      </c>
      <c r="AB13" s="117">
        <f t="shared" si="11"/>
        <v>5155.1229147672166</v>
      </c>
    </row>
    <row r="14" spans="1:28">
      <c r="A14">
        <f t="shared" si="12"/>
        <v>10</v>
      </c>
      <c r="B14" s="133" t="s">
        <v>20</v>
      </c>
      <c r="C14" s="133" t="s">
        <v>25</v>
      </c>
      <c r="D14" s="133" t="s">
        <v>63</v>
      </c>
      <c r="E14" s="133" t="s">
        <v>65</v>
      </c>
      <c r="F14" s="136">
        <v>1</v>
      </c>
      <c r="G14" s="16">
        <v>6739</v>
      </c>
      <c r="H14" s="16">
        <f t="shared" si="0"/>
        <v>7884.6299999999992</v>
      </c>
      <c r="I14" s="114">
        <f t="shared" si="1"/>
        <v>1145.6299999999992</v>
      </c>
      <c r="J14" s="114"/>
      <c r="K14" s="114">
        <f>+I14*$K$4</f>
        <v>378.05789999999973</v>
      </c>
      <c r="L14" s="114">
        <f t="shared" si="15"/>
        <v>91.42127399999994</v>
      </c>
      <c r="M14" s="115">
        <f t="shared" si="13"/>
        <v>91.650399999999934</v>
      </c>
      <c r="N14" s="115">
        <f t="shared" si="14"/>
        <v>91.650399999999934</v>
      </c>
      <c r="O14" s="115">
        <f t="shared" si="2"/>
        <v>15.236878999999989</v>
      </c>
      <c r="P14" s="115">
        <f t="shared" si="3"/>
        <v>252.11</v>
      </c>
      <c r="Q14" s="115">
        <f t="shared" si="4"/>
        <v>141.27000000000001</v>
      </c>
      <c r="R14" s="115"/>
      <c r="S14" s="115">
        <f t="shared" si="5"/>
        <v>2207.0268529999989</v>
      </c>
      <c r="T14" s="115">
        <f t="shared" si="6"/>
        <v>183.8453368548999</v>
      </c>
      <c r="U14" s="115">
        <f t="shared" si="7"/>
        <v>2390.8721898548988</v>
      </c>
      <c r="V14" s="115">
        <f t="shared" si="8"/>
        <v>1362.7971482172923</v>
      </c>
      <c r="W14" s="115">
        <f t="shared" si="9"/>
        <v>3753.6693380721908</v>
      </c>
      <c r="X14" s="115">
        <f t="shared" si="10"/>
        <v>836</v>
      </c>
      <c r="Y14" s="116"/>
      <c r="Z14" s="116">
        <v>500</v>
      </c>
      <c r="AA14" s="116">
        <f>1330.6*$AA$4</f>
        <v>226.202</v>
      </c>
      <c r="AB14" s="117">
        <f t="shared" si="11"/>
        <v>5315.8713380721911</v>
      </c>
    </row>
    <row r="15" spans="1:28">
      <c r="A15">
        <f t="shared" si="12"/>
        <v>11</v>
      </c>
      <c r="B15" s="133" t="s">
        <v>29</v>
      </c>
      <c r="C15" s="133" t="s">
        <v>30</v>
      </c>
      <c r="D15" s="133" t="s">
        <v>63</v>
      </c>
      <c r="E15" s="133" t="s">
        <v>65</v>
      </c>
      <c r="F15" s="136">
        <v>1</v>
      </c>
      <c r="G15" s="16">
        <v>6380</v>
      </c>
      <c r="H15" s="16">
        <f t="shared" si="0"/>
        <v>7464.5999999999995</v>
      </c>
      <c r="I15" s="114">
        <f t="shared" si="1"/>
        <v>1084.5999999999995</v>
      </c>
      <c r="J15" s="114"/>
      <c r="K15" s="114">
        <f>+I15*$K$4</f>
        <v>357.91799999999984</v>
      </c>
      <c r="L15" s="114">
        <f t="shared" si="15"/>
        <v>86.551079999999956</v>
      </c>
      <c r="M15" s="115">
        <f t="shared" si="13"/>
        <v>86.767999999999958</v>
      </c>
      <c r="N15" s="115">
        <f t="shared" si="14"/>
        <v>86.767999999999958</v>
      </c>
      <c r="O15" s="115">
        <f t="shared" si="2"/>
        <v>14.425179999999994</v>
      </c>
      <c r="P15" s="115">
        <f t="shared" si="3"/>
        <v>252.11</v>
      </c>
      <c r="Q15" s="115">
        <f t="shared" si="4"/>
        <v>141.27000000000001</v>
      </c>
      <c r="R15" s="115"/>
      <c r="S15" s="115">
        <f t="shared" si="5"/>
        <v>2110.4102599999992</v>
      </c>
      <c r="T15" s="115">
        <f t="shared" si="6"/>
        <v>175.79717465799993</v>
      </c>
      <c r="U15" s="115">
        <f t="shared" si="7"/>
        <v>2286.2074346579993</v>
      </c>
      <c r="V15" s="115">
        <f t="shared" si="8"/>
        <v>1303.1382377550594</v>
      </c>
      <c r="W15" s="115">
        <f t="shared" si="9"/>
        <v>3589.3456724130588</v>
      </c>
      <c r="X15" s="115">
        <f t="shared" si="10"/>
        <v>836</v>
      </c>
      <c r="Y15" s="116"/>
      <c r="Z15" s="116">
        <v>500</v>
      </c>
      <c r="AA15" s="116">
        <f>1131*$AA$4</f>
        <v>192.27</v>
      </c>
      <c r="AB15" s="117">
        <f t="shared" si="11"/>
        <v>5117.6156724130597</v>
      </c>
    </row>
    <row r="16" spans="1:28">
      <c r="A16">
        <f t="shared" si="12"/>
        <v>12</v>
      </c>
      <c r="B16" s="133" t="s">
        <v>31</v>
      </c>
      <c r="C16" s="133" t="s">
        <v>32</v>
      </c>
      <c r="D16" s="133" t="s">
        <v>63</v>
      </c>
      <c r="E16" s="133" t="s">
        <v>65</v>
      </c>
      <c r="F16" s="136">
        <v>1</v>
      </c>
      <c r="G16" s="16">
        <v>6739</v>
      </c>
      <c r="H16" s="16">
        <f t="shared" si="0"/>
        <v>7884.6299999999992</v>
      </c>
      <c r="I16" s="114">
        <f t="shared" si="1"/>
        <v>1145.6299999999992</v>
      </c>
      <c r="J16" s="114"/>
      <c r="K16" s="114">
        <f>+I16*$K$4</f>
        <v>378.05789999999973</v>
      </c>
      <c r="L16" s="114">
        <f t="shared" si="15"/>
        <v>91.42127399999994</v>
      </c>
      <c r="M16" s="115">
        <f t="shared" si="13"/>
        <v>91.650399999999934</v>
      </c>
      <c r="N16" s="115">
        <f t="shared" si="14"/>
        <v>91.650399999999934</v>
      </c>
      <c r="O16" s="115">
        <f t="shared" si="2"/>
        <v>15.236878999999989</v>
      </c>
      <c r="P16" s="115">
        <f t="shared" si="3"/>
        <v>252.11</v>
      </c>
      <c r="Q16" s="115">
        <f t="shared" si="4"/>
        <v>141.27000000000001</v>
      </c>
      <c r="R16" s="115"/>
      <c r="S16" s="115">
        <f t="shared" si="5"/>
        <v>2207.0268529999989</v>
      </c>
      <c r="T16" s="115">
        <f t="shared" si="6"/>
        <v>183.8453368548999</v>
      </c>
      <c r="U16" s="115">
        <f t="shared" si="7"/>
        <v>2390.8721898548988</v>
      </c>
      <c r="V16" s="115">
        <f t="shared" si="8"/>
        <v>1362.7971482172923</v>
      </c>
      <c r="W16" s="115">
        <f t="shared" si="9"/>
        <v>3753.6693380721908</v>
      </c>
      <c r="X16" s="115">
        <f t="shared" si="10"/>
        <v>836</v>
      </c>
      <c r="Y16" s="116"/>
      <c r="Z16" s="116">
        <v>500</v>
      </c>
      <c r="AA16" s="116">
        <f>1330.6*$AA$4</f>
        <v>226.202</v>
      </c>
      <c r="AB16" s="117">
        <f t="shared" si="11"/>
        <v>5315.8713380721911</v>
      </c>
    </row>
    <row r="17" spans="1:28">
      <c r="A17">
        <f t="shared" si="12"/>
        <v>13</v>
      </c>
      <c r="B17" s="133" t="s">
        <v>33</v>
      </c>
      <c r="C17" s="133" t="s">
        <v>34</v>
      </c>
      <c r="D17" s="133" t="s">
        <v>63</v>
      </c>
      <c r="E17" s="133" t="s">
        <v>65</v>
      </c>
      <c r="F17" s="136">
        <v>1</v>
      </c>
      <c r="G17" s="16">
        <v>6380</v>
      </c>
      <c r="H17" s="16">
        <f t="shared" si="0"/>
        <v>7464.5999999999995</v>
      </c>
      <c r="I17" s="114">
        <f t="shared" si="1"/>
        <v>1084.5999999999995</v>
      </c>
      <c r="J17" s="114"/>
      <c r="K17" s="114">
        <f>+I17*$K$4</f>
        <v>357.91799999999984</v>
      </c>
      <c r="L17" s="114">
        <f t="shared" si="15"/>
        <v>86.551079999999956</v>
      </c>
      <c r="M17" s="115">
        <f t="shared" si="13"/>
        <v>86.767999999999958</v>
      </c>
      <c r="N17" s="115">
        <f t="shared" si="14"/>
        <v>86.767999999999958</v>
      </c>
      <c r="O17" s="115">
        <f t="shared" si="2"/>
        <v>14.425179999999994</v>
      </c>
      <c r="P17" s="115">
        <f t="shared" si="3"/>
        <v>252.11</v>
      </c>
      <c r="Q17" s="115">
        <f t="shared" si="4"/>
        <v>141.27000000000001</v>
      </c>
      <c r="R17" s="115"/>
      <c r="S17" s="115">
        <f t="shared" si="5"/>
        <v>2110.4102599999992</v>
      </c>
      <c r="T17" s="115">
        <f t="shared" si="6"/>
        <v>175.79717465799993</v>
      </c>
      <c r="U17" s="115">
        <f t="shared" si="7"/>
        <v>2286.2074346579993</v>
      </c>
      <c r="V17" s="115">
        <f t="shared" si="8"/>
        <v>1303.1382377550594</v>
      </c>
      <c r="W17" s="115">
        <f t="shared" si="9"/>
        <v>3589.3456724130588</v>
      </c>
      <c r="X17" s="115">
        <f t="shared" si="10"/>
        <v>836</v>
      </c>
      <c r="Y17" s="116"/>
      <c r="Z17" s="116">
        <v>500</v>
      </c>
      <c r="AA17" s="116">
        <f>1131*$AA$4</f>
        <v>192.27</v>
      </c>
      <c r="AB17" s="117">
        <f t="shared" si="11"/>
        <v>5117.6156724130597</v>
      </c>
    </row>
    <row r="18" spans="1:28">
      <c r="A18">
        <f t="shared" si="12"/>
        <v>14</v>
      </c>
      <c r="B18" s="133" t="s">
        <v>35</v>
      </c>
      <c r="C18" s="102" t="s">
        <v>36</v>
      </c>
      <c r="D18" s="102" t="s">
        <v>63</v>
      </c>
      <c r="E18" s="102" t="s">
        <v>65</v>
      </c>
      <c r="F18" s="137">
        <v>0.35</v>
      </c>
      <c r="G18" s="16">
        <v>5299</v>
      </c>
      <c r="H18" s="16">
        <f t="shared" si="0"/>
        <v>6199.83</v>
      </c>
      <c r="I18" s="114">
        <f t="shared" ref="I18:I24" si="16">+H18-G18</f>
        <v>900.82999999999993</v>
      </c>
      <c r="J18" s="114">
        <f>(I18)*$J$4</f>
        <v>198.18259999999998</v>
      </c>
      <c r="K18" s="114"/>
      <c r="L18" s="114">
        <f t="shared" si="15"/>
        <v>65.940755999999993</v>
      </c>
      <c r="M18" s="115"/>
      <c r="N18" s="115"/>
      <c r="O18" s="115">
        <f t="shared" si="2"/>
        <v>10.990126</v>
      </c>
      <c r="P18" s="115">
        <f t="shared" si="3"/>
        <v>252.11</v>
      </c>
      <c r="Q18" s="115">
        <f>791*0.17</f>
        <v>134.47</v>
      </c>
      <c r="R18" s="115"/>
      <c r="S18" s="115">
        <f t="shared" si="5"/>
        <v>1562.5234819999998</v>
      </c>
      <c r="T18" s="115">
        <f t="shared" si="6"/>
        <v>130.15820605059997</v>
      </c>
      <c r="U18" s="115">
        <f t="shared" si="7"/>
        <v>1692.6816880505999</v>
      </c>
      <c r="V18" s="115">
        <f t="shared" si="8"/>
        <v>964.82856218884183</v>
      </c>
      <c r="W18" s="115">
        <f t="shared" si="9"/>
        <v>2657.5102502394416</v>
      </c>
      <c r="X18" s="115">
        <f t="shared" si="10"/>
        <v>836</v>
      </c>
      <c r="Y18" s="116"/>
      <c r="Z18" s="116">
        <v>500</v>
      </c>
      <c r="AA18" s="116"/>
      <c r="AB18" s="117">
        <f t="shared" si="11"/>
        <v>1397.7285875838045</v>
      </c>
    </row>
    <row r="19" spans="1:28">
      <c r="A19">
        <f t="shared" si="12"/>
        <v>15</v>
      </c>
      <c r="B19" s="133" t="s">
        <v>39</v>
      </c>
      <c r="C19" s="133" t="s">
        <v>21</v>
      </c>
      <c r="D19" s="133" t="s">
        <v>63</v>
      </c>
      <c r="E19" s="133" t="s">
        <v>65</v>
      </c>
      <c r="F19" s="136">
        <v>1</v>
      </c>
      <c r="G19" s="16">
        <v>4649</v>
      </c>
      <c r="H19" s="16">
        <f t="shared" si="0"/>
        <v>5439.33</v>
      </c>
      <c r="I19" s="114">
        <f t="shared" si="16"/>
        <v>790.32999999999993</v>
      </c>
      <c r="J19" s="114"/>
      <c r="K19" s="114">
        <f>+I19*$K$4</f>
        <v>260.80889999999999</v>
      </c>
      <c r="L19" s="114">
        <f t="shared" si="15"/>
        <v>63.068333999999993</v>
      </c>
      <c r="M19" s="115">
        <f t="shared" si="13"/>
        <v>63.226399999999998</v>
      </c>
      <c r="N19" s="115">
        <f t="shared" si="14"/>
        <v>63.226399999999998</v>
      </c>
      <c r="O19" s="115">
        <f t="shared" si="2"/>
        <v>10.511388999999999</v>
      </c>
      <c r="P19" s="115">
        <f t="shared" si="3"/>
        <v>252.11</v>
      </c>
      <c r="Q19" s="115">
        <f t="shared" si="4"/>
        <v>141.27000000000001</v>
      </c>
      <c r="R19" s="115"/>
      <c r="S19" s="115">
        <f t="shared" si="5"/>
        <v>1644.5514229999999</v>
      </c>
      <c r="T19" s="115">
        <f t="shared" si="6"/>
        <v>136.99113353589999</v>
      </c>
      <c r="U19" s="115">
        <f t="shared" si="7"/>
        <v>1781.5425565358998</v>
      </c>
      <c r="V19" s="115">
        <f t="shared" si="8"/>
        <v>1015.4792572254628</v>
      </c>
      <c r="W19" s="115">
        <f t="shared" si="9"/>
        <v>2797.0218137613629</v>
      </c>
      <c r="X19" s="115">
        <f t="shared" si="10"/>
        <v>836</v>
      </c>
      <c r="Y19" s="116"/>
      <c r="Z19" s="116">
        <v>500</v>
      </c>
      <c r="AA19" s="116">
        <f>931*$AA$4</f>
        <v>158.27000000000001</v>
      </c>
      <c r="AB19" s="117">
        <f t="shared" si="11"/>
        <v>4291.2918137613633</v>
      </c>
    </row>
    <row r="20" spans="1:28">
      <c r="A20">
        <f t="shared" si="12"/>
        <v>16</v>
      </c>
      <c r="B20" s="133" t="s">
        <v>40</v>
      </c>
      <c r="C20" s="133" t="s">
        <v>41</v>
      </c>
      <c r="D20" s="133" t="s">
        <v>63</v>
      </c>
      <c r="E20" s="133" t="s">
        <v>65</v>
      </c>
      <c r="F20" s="136">
        <v>1</v>
      </c>
      <c r="G20" s="16">
        <v>6739</v>
      </c>
      <c r="H20" s="16">
        <f t="shared" si="0"/>
        <v>7884.6299999999992</v>
      </c>
      <c r="I20" s="114">
        <f t="shared" si="16"/>
        <v>1145.6299999999992</v>
      </c>
      <c r="J20" s="114"/>
      <c r="K20" s="114">
        <f>+I20*$K$4</f>
        <v>378.05789999999973</v>
      </c>
      <c r="L20" s="114">
        <f t="shared" si="15"/>
        <v>91.42127399999994</v>
      </c>
      <c r="M20" s="115">
        <f t="shared" si="13"/>
        <v>91.650399999999934</v>
      </c>
      <c r="N20" s="115">
        <f t="shared" si="14"/>
        <v>91.650399999999934</v>
      </c>
      <c r="O20" s="115">
        <f t="shared" si="2"/>
        <v>15.236878999999989</v>
      </c>
      <c r="P20" s="115">
        <f t="shared" si="3"/>
        <v>252.11</v>
      </c>
      <c r="Q20" s="115">
        <f t="shared" si="4"/>
        <v>141.27000000000001</v>
      </c>
      <c r="R20" s="115"/>
      <c r="S20" s="115">
        <f t="shared" si="5"/>
        <v>2207.0268529999989</v>
      </c>
      <c r="T20" s="115">
        <f t="shared" si="6"/>
        <v>183.8453368548999</v>
      </c>
      <c r="U20" s="115">
        <f t="shared" si="7"/>
        <v>2390.8721898548988</v>
      </c>
      <c r="V20" s="115">
        <f t="shared" si="8"/>
        <v>1362.7971482172923</v>
      </c>
      <c r="W20" s="115">
        <f t="shared" si="9"/>
        <v>3753.6693380721908</v>
      </c>
      <c r="X20" s="115">
        <f t="shared" si="10"/>
        <v>836</v>
      </c>
      <c r="Y20" s="116"/>
      <c r="Z20" s="116">
        <v>500</v>
      </c>
      <c r="AA20" s="116">
        <f>1330.6*$AA$4</f>
        <v>226.202</v>
      </c>
      <c r="AB20" s="117">
        <f t="shared" si="11"/>
        <v>5315.8713380721911</v>
      </c>
    </row>
    <row r="21" spans="1:28">
      <c r="A21">
        <f t="shared" si="12"/>
        <v>17</v>
      </c>
      <c r="B21" s="133" t="s">
        <v>42</v>
      </c>
      <c r="C21" s="133" t="s">
        <v>43</v>
      </c>
      <c r="D21" s="133" t="s">
        <v>63</v>
      </c>
      <c r="E21" s="133" t="s">
        <v>65</v>
      </c>
      <c r="F21" s="136">
        <v>1</v>
      </c>
      <c r="G21" s="16">
        <v>6739</v>
      </c>
      <c r="H21" s="16">
        <f t="shared" si="0"/>
        <v>7884.6299999999992</v>
      </c>
      <c r="I21" s="114">
        <f t="shared" si="16"/>
        <v>1145.6299999999992</v>
      </c>
      <c r="J21" s="114"/>
      <c r="K21" s="114">
        <f>+I21*$K$4</f>
        <v>378.05789999999973</v>
      </c>
      <c r="L21" s="114">
        <f t="shared" si="15"/>
        <v>91.42127399999994</v>
      </c>
      <c r="M21" s="115">
        <f t="shared" si="13"/>
        <v>91.650399999999934</v>
      </c>
      <c r="N21" s="115">
        <f t="shared" si="14"/>
        <v>91.650399999999934</v>
      </c>
      <c r="O21" s="115">
        <f t="shared" si="2"/>
        <v>15.236878999999989</v>
      </c>
      <c r="P21" s="115">
        <f t="shared" si="3"/>
        <v>252.11</v>
      </c>
      <c r="Q21" s="115">
        <f t="shared" si="4"/>
        <v>141.27000000000001</v>
      </c>
      <c r="R21" s="115">
        <f>+(I21+K21+N21+O21+P21+R109)*0.1*22/30</f>
        <v>138.06357979333328</v>
      </c>
      <c r="S21" s="115">
        <f t="shared" si="5"/>
        <v>2345.0904327933322</v>
      </c>
      <c r="T21" s="115">
        <f t="shared" si="6"/>
        <v>195.34603305168457</v>
      </c>
      <c r="U21" s="115">
        <f t="shared" si="7"/>
        <v>2540.4364658450168</v>
      </c>
      <c r="V21" s="115">
        <f t="shared" si="8"/>
        <v>1448.0487855316594</v>
      </c>
      <c r="W21" s="115">
        <f t="shared" si="9"/>
        <v>3988.4852513766764</v>
      </c>
      <c r="X21" s="115">
        <f t="shared" si="10"/>
        <v>836</v>
      </c>
      <c r="Y21" s="116">
        <f>+(36-31)*$Y$4</f>
        <v>110</v>
      </c>
      <c r="Z21" s="116">
        <v>500</v>
      </c>
      <c r="AA21" s="116">
        <f>1330.6*$AA$4</f>
        <v>226.202</v>
      </c>
      <c r="AB21" s="117">
        <f t="shared" si="11"/>
        <v>5660.6872513766766</v>
      </c>
    </row>
    <row r="22" spans="1:28">
      <c r="A22">
        <f t="shared" si="12"/>
        <v>18</v>
      </c>
      <c r="B22" s="133" t="s">
        <v>44</v>
      </c>
      <c r="C22" s="133" t="s">
        <v>45</v>
      </c>
      <c r="D22" s="133" t="s">
        <v>63</v>
      </c>
      <c r="E22" s="133" t="s">
        <v>65</v>
      </c>
      <c r="F22" s="136">
        <v>1</v>
      </c>
      <c r="G22" s="16">
        <v>6380</v>
      </c>
      <c r="H22" s="16">
        <f t="shared" si="0"/>
        <v>7464.5999999999995</v>
      </c>
      <c r="I22" s="114">
        <f t="shared" si="16"/>
        <v>1084.5999999999995</v>
      </c>
      <c r="J22" s="114"/>
      <c r="K22" s="114">
        <f>+I22*$K$4</f>
        <v>357.91799999999984</v>
      </c>
      <c r="L22" s="114">
        <f t="shared" si="15"/>
        <v>86.551079999999956</v>
      </c>
      <c r="M22" s="115">
        <f t="shared" si="13"/>
        <v>86.767999999999958</v>
      </c>
      <c r="N22" s="115">
        <f t="shared" si="14"/>
        <v>86.767999999999958</v>
      </c>
      <c r="O22" s="115">
        <f t="shared" si="2"/>
        <v>14.425179999999994</v>
      </c>
      <c r="P22" s="115">
        <f t="shared" si="3"/>
        <v>252.11</v>
      </c>
      <c r="Q22" s="115">
        <f t="shared" si="4"/>
        <v>141.27000000000001</v>
      </c>
      <c r="R22" s="115"/>
      <c r="S22" s="115">
        <f t="shared" si="5"/>
        <v>2110.4102599999992</v>
      </c>
      <c r="T22" s="115">
        <f t="shared" si="6"/>
        <v>175.79717465799993</v>
      </c>
      <c r="U22" s="115">
        <f t="shared" si="7"/>
        <v>2286.2074346579993</v>
      </c>
      <c r="V22" s="115">
        <f t="shared" si="8"/>
        <v>1303.1382377550594</v>
      </c>
      <c r="W22" s="115">
        <f t="shared" si="9"/>
        <v>3589.3456724130588</v>
      </c>
      <c r="X22" s="115">
        <f t="shared" si="10"/>
        <v>836</v>
      </c>
      <c r="Y22" s="116"/>
      <c r="Z22" s="116">
        <v>500</v>
      </c>
      <c r="AA22" s="116">
        <f>1131*$AA$4</f>
        <v>192.27</v>
      </c>
      <c r="AB22" s="117">
        <f t="shared" si="11"/>
        <v>5117.6156724130597</v>
      </c>
    </row>
    <row r="23" spans="1:28">
      <c r="A23">
        <f t="shared" si="12"/>
        <v>19</v>
      </c>
      <c r="B23" s="133" t="s">
        <v>52</v>
      </c>
      <c r="C23" s="133" t="s">
        <v>53</v>
      </c>
      <c r="D23" s="133" t="s">
        <v>63</v>
      </c>
      <c r="E23" s="133" t="s">
        <v>65</v>
      </c>
      <c r="F23" s="136">
        <v>1</v>
      </c>
      <c r="G23" s="16">
        <v>5299</v>
      </c>
      <c r="H23" s="16">
        <f t="shared" si="0"/>
        <v>6199.83</v>
      </c>
      <c r="I23" s="114">
        <f t="shared" si="16"/>
        <v>900.82999999999993</v>
      </c>
      <c r="J23" s="114">
        <f>(I23)*$J$4</f>
        <v>198.18259999999998</v>
      </c>
      <c r="K23" s="114"/>
      <c r="L23" s="114">
        <f t="shared" si="15"/>
        <v>65.940755999999993</v>
      </c>
      <c r="M23" s="115">
        <f t="shared" si="13"/>
        <v>87.921008</v>
      </c>
      <c r="N23" s="115">
        <f t="shared" si="14"/>
        <v>87.921008</v>
      </c>
      <c r="O23" s="115">
        <f t="shared" si="2"/>
        <v>10.990126</v>
      </c>
      <c r="P23" s="115">
        <f t="shared" si="3"/>
        <v>252.11</v>
      </c>
      <c r="Q23" s="115">
        <f t="shared" si="4"/>
        <v>141.27000000000001</v>
      </c>
      <c r="R23" s="115"/>
      <c r="S23" s="115">
        <f t="shared" si="5"/>
        <v>1745.1654979999998</v>
      </c>
      <c r="T23" s="115">
        <f t="shared" si="6"/>
        <v>145.37228598339999</v>
      </c>
      <c r="U23" s="115">
        <f t="shared" si="7"/>
        <v>1890.5377839833998</v>
      </c>
      <c r="V23" s="115">
        <f t="shared" si="8"/>
        <v>1077.6065368705379</v>
      </c>
      <c r="W23" s="115">
        <f t="shared" si="9"/>
        <v>2968.1443208539376</v>
      </c>
      <c r="X23" s="115">
        <f t="shared" si="10"/>
        <v>836</v>
      </c>
      <c r="Y23" s="116"/>
      <c r="Z23" s="116">
        <v>500</v>
      </c>
      <c r="AA23" s="116"/>
      <c r="AB23" s="117">
        <f t="shared" si="11"/>
        <v>4304.1443208539376</v>
      </c>
    </row>
    <row r="24" spans="1:28">
      <c r="A24">
        <f t="shared" si="12"/>
        <v>20</v>
      </c>
      <c r="B24" s="133" t="s">
        <v>56</v>
      </c>
      <c r="C24" s="133" t="s">
        <v>57</v>
      </c>
      <c r="D24" s="133" t="s">
        <v>63</v>
      </c>
      <c r="E24" s="133" t="s">
        <v>65</v>
      </c>
      <c r="F24" s="136">
        <v>1</v>
      </c>
      <c r="G24" s="16">
        <v>4649</v>
      </c>
      <c r="H24" s="16">
        <f t="shared" si="0"/>
        <v>5439.33</v>
      </c>
      <c r="I24" s="114">
        <f t="shared" si="16"/>
        <v>790.32999999999993</v>
      </c>
      <c r="J24" s="114"/>
      <c r="K24" s="114">
        <f>+I24*$K$4</f>
        <v>260.80889999999999</v>
      </c>
      <c r="L24" s="114">
        <f t="shared" si="15"/>
        <v>63.068333999999993</v>
      </c>
      <c r="M24" s="115">
        <f t="shared" si="13"/>
        <v>63.226399999999998</v>
      </c>
      <c r="N24" s="115">
        <f t="shared" si="14"/>
        <v>63.226399999999998</v>
      </c>
      <c r="O24" s="115">
        <f t="shared" si="2"/>
        <v>10.511388999999999</v>
      </c>
      <c r="P24" s="115">
        <f t="shared" si="3"/>
        <v>252.11</v>
      </c>
      <c r="Q24" s="115">
        <f t="shared" si="4"/>
        <v>141.27000000000001</v>
      </c>
      <c r="R24" s="115">
        <f>+(I24+K24+N24+O24+P24+R113)*0.1*22/30</f>
        <v>100.97902386000001</v>
      </c>
      <c r="S24" s="115">
        <f t="shared" si="5"/>
        <v>1745.53044686</v>
      </c>
      <c r="T24" s="115">
        <f t="shared" si="6"/>
        <v>145.402686223438</v>
      </c>
      <c r="U24" s="115">
        <f t="shared" si="7"/>
        <v>1890.933133083438</v>
      </c>
      <c r="V24" s="115">
        <f t="shared" si="8"/>
        <v>1077.8318858575594</v>
      </c>
      <c r="W24" s="115">
        <f t="shared" si="9"/>
        <v>2968.7650189409974</v>
      </c>
      <c r="X24" s="115">
        <f t="shared" si="10"/>
        <v>836</v>
      </c>
      <c r="Y24" s="116">
        <f>+(36-31)*$Y$4</f>
        <v>110</v>
      </c>
      <c r="Z24" s="116">
        <v>500</v>
      </c>
      <c r="AA24" s="116">
        <f>931.4*$AA$4</f>
        <v>158.33799999999999</v>
      </c>
      <c r="AB24" s="117">
        <f t="shared" si="11"/>
        <v>4573.1030189409976</v>
      </c>
    </row>
    <row r="25" spans="1:28">
      <c r="A25">
        <f t="shared" si="12"/>
        <v>21</v>
      </c>
      <c r="B25" s="133" t="s">
        <v>3</v>
      </c>
      <c r="C25" s="133" t="s">
        <v>4</v>
      </c>
      <c r="D25" s="133" t="s">
        <v>63</v>
      </c>
      <c r="E25" s="133" t="s">
        <v>65</v>
      </c>
      <c r="F25" s="136">
        <v>1</v>
      </c>
      <c r="G25" s="16">
        <v>6739</v>
      </c>
      <c r="H25" s="16">
        <f>+G25*1.17</f>
        <v>7884.6299999999992</v>
      </c>
      <c r="I25" s="114">
        <f>+H25-G25</f>
        <v>1145.6299999999992</v>
      </c>
      <c r="J25" s="114"/>
      <c r="K25" s="114">
        <f>+I25*$K$44</f>
        <v>378.05789999999973</v>
      </c>
      <c r="L25" s="114">
        <f>+(I25+J25)*$L$4</f>
        <v>68.73779999999995</v>
      </c>
      <c r="M25" s="115">
        <f>+(I25+J25)*$M$4</f>
        <v>91.650399999999934</v>
      </c>
      <c r="N25" s="115">
        <f>+(J25+I25)*$N$4</f>
        <v>91.650399999999934</v>
      </c>
      <c r="O25" s="115">
        <f>+(J25+K25+I25)*$O$4</f>
        <v>15.236878999999989</v>
      </c>
      <c r="P25" s="115">
        <f>1483*0.17</f>
        <v>252.11</v>
      </c>
      <c r="Q25" s="115">
        <f>831*0.17</f>
        <v>141.27000000000001</v>
      </c>
      <c r="R25" s="115">
        <f>+(I25+K25+N25+O25+P25+R111)*0.1*22/30</f>
        <v>138.06357979333328</v>
      </c>
      <c r="S25" s="115">
        <f t="shared" si="5"/>
        <v>2322.4069587933323</v>
      </c>
      <c r="T25" s="115">
        <f>+$T$4*S25</f>
        <v>193.45649966748456</v>
      </c>
      <c r="U25" s="115">
        <f>+S25+T25</f>
        <v>2515.8634584608167</v>
      </c>
      <c r="V25" s="115">
        <f>+U25*$V$4</f>
        <v>1434.0421713226654</v>
      </c>
      <c r="W25" s="115">
        <f>+U25+V25</f>
        <v>3949.9056297834823</v>
      </c>
      <c r="X25" s="115">
        <f>44*(129-110)</f>
        <v>836</v>
      </c>
      <c r="Y25" s="116">
        <f>+(36-31)*$Y$4</f>
        <v>110</v>
      </c>
      <c r="Z25" s="116">
        <v>500</v>
      </c>
      <c r="AA25" s="116">
        <f>1330.6*$AA$4</f>
        <v>226.202</v>
      </c>
      <c r="AB25" s="117">
        <f t="shared" si="11"/>
        <v>5622.1076297834825</v>
      </c>
    </row>
    <row r="26" spans="1:28">
      <c r="A26">
        <f t="shared" si="12"/>
        <v>22</v>
      </c>
      <c r="B26" s="133" t="s">
        <v>27</v>
      </c>
      <c r="C26" s="133" t="s">
        <v>28</v>
      </c>
      <c r="D26" s="133" t="s">
        <v>63</v>
      </c>
      <c r="E26" s="133" t="s">
        <v>65</v>
      </c>
      <c r="F26" s="136">
        <v>1</v>
      </c>
      <c r="G26" s="16">
        <v>6380</v>
      </c>
      <c r="H26" s="16">
        <f>+G26*1.17</f>
        <v>7464.5999999999995</v>
      </c>
      <c r="I26" s="114">
        <f>+H26-G26</f>
        <v>1084.5999999999995</v>
      </c>
      <c r="J26" s="114"/>
      <c r="K26" s="114">
        <f>+I26*$K$44</f>
        <v>357.91799999999984</v>
      </c>
      <c r="L26" s="114">
        <f>+(I26+J26)*$L$4</f>
        <v>65.075999999999965</v>
      </c>
      <c r="M26" s="115">
        <f>+(I26+J26)*$M$4</f>
        <v>86.767999999999958</v>
      </c>
      <c r="N26" s="115">
        <f>+(J26+I26)*$N$4</f>
        <v>86.767999999999958</v>
      </c>
      <c r="O26" s="115">
        <f>+(J26+K26+I26)*$O$4</f>
        <v>14.425179999999994</v>
      </c>
      <c r="P26" s="115">
        <f>1483*0.17</f>
        <v>252.11</v>
      </c>
      <c r="Q26" s="115">
        <f>831*0.17</f>
        <v>141.27000000000001</v>
      </c>
      <c r="R26" s="115"/>
      <c r="S26" s="115">
        <f t="shared" si="5"/>
        <v>2088.9351799999995</v>
      </c>
      <c r="T26" s="115">
        <f>+$T$4*S26</f>
        <v>174.00830049399997</v>
      </c>
      <c r="U26" s="115">
        <f>+S26+T26</f>
        <v>2262.9434804939992</v>
      </c>
      <c r="V26" s="115">
        <f>+U26*$V$4</f>
        <v>1289.8777838815795</v>
      </c>
      <c r="W26" s="115">
        <f>+U26+V26</f>
        <v>3552.8212643755787</v>
      </c>
      <c r="X26" s="115">
        <f>44*(129-110)</f>
        <v>836</v>
      </c>
      <c r="Y26" s="116"/>
      <c r="Z26" s="116">
        <v>500</v>
      </c>
      <c r="AA26" s="116">
        <f>1131*$AA$4</f>
        <v>192.27</v>
      </c>
      <c r="AB26" s="117">
        <f t="shared" si="11"/>
        <v>5081.0912643755792</v>
      </c>
    </row>
    <row r="27" spans="1:28">
      <c r="A27">
        <f t="shared" si="12"/>
        <v>23</v>
      </c>
      <c r="B27" s="134" t="s">
        <v>50</v>
      </c>
      <c r="C27" s="134" t="s">
        <v>51</v>
      </c>
      <c r="D27" s="134" t="s">
        <v>63</v>
      </c>
      <c r="E27" s="134" t="s">
        <v>65</v>
      </c>
      <c r="F27" s="138">
        <v>1</v>
      </c>
      <c r="G27" s="98">
        <v>4649</v>
      </c>
      <c r="H27" s="17">
        <f>+G27*1.17</f>
        <v>5439.33</v>
      </c>
      <c r="I27" s="118">
        <f>+H27-G27</f>
        <v>790.32999999999993</v>
      </c>
      <c r="J27" s="118"/>
      <c r="K27" s="118">
        <f>+I27*$K$44</f>
        <v>260.80889999999999</v>
      </c>
      <c r="L27" s="118">
        <f>+(I27+J27)*$L$4</f>
        <v>47.419799999999995</v>
      </c>
      <c r="M27" s="119">
        <f>+(I27+J27)*$M$4</f>
        <v>63.226399999999998</v>
      </c>
      <c r="N27" s="119">
        <f>+(J27+I27)*$N$4</f>
        <v>63.226399999999998</v>
      </c>
      <c r="O27" s="119">
        <f>+(J27+K27+I27)*$O$4</f>
        <v>10.511388999999999</v>
      </c>
      <c r="P27" s="119">
        <f>1483*0.17</f>
        <v>252.11</v>
      </c>
      <c r="Q27" s="119">
        <f>831*0.17</f>
        <v>141.27000000000001</v>
      </c>
      <c r="R27" s="119"/>
      <c r="S27" s="115">
        <f t="shared" si="5"/>
        <v>1628.902889</v>
      </c>
      <c r="T27" s="119">
        <f>+$T$4*S27</f>
        <v>135.68761065370001</v>
      </c>
      <c r="U27" s="119">
        <f>+S27+T27</f>
        <v>1764.5904996536999</v>
      </c>
      <c r="V27" s="119">
        <f>+U27*$V$4</f>
        <v>1005.8165848026089</v>
      </c>
      <c r="W27" s="119">
        <f>+U27+V27</f>
        <v>2770.4070844563089</v>
      </c>
      <c r="X27" s="119">
        <f>44*(129-110)</f>
        <v>836</v>
      </c>
      <c r="Y27" s="120"/>
      <c r="Z27" s="120">
        <v>500</v>
      </c>
      <c r="AA27" s="120">
        <f>931*$AA$4</f>
        <v>158.27000000000001</v>
      </c>
      <c r="AB27" s="117">
        <f t="shared" si="11"/>
        <v>4264.6770844563089</v>
      </c>
    </row>
    <row r="28" spans="1:28" ht="15.75" thickBot="1">
      <c r="B28" s="151" t="s">
        <v>60</v>
      </c>
      <c r="C28" s="152"/>
      <c r="AB28" s="122">
        <f>SUM(AB5:AB27)</f>
        <v>105187.20928175084</v>
      </c>
    </row>
    <row r="30" spans="1:28" ht="26.25" customHeight="1">
      <c r="A30" s="80" t="s">
        <v>141</v>
      </c>
      <c r="J30" s="5"/>
    </row>
    <row r="31" spans="1:28" ht="15.75" thickBot="1">
      <c r="J31" s="6"/>
    </row>
    <row r="32" spans="1:28">
      <c r="B32" s="148" t="s">
        <v>0</v>
      </c>
      <c r="C32" s="149"/>
      <c r="D32" s="3"/>
    </row>
    <row r="33" spans="1:29" ht="39.75" thickBot="1">
      <c r="B33" s="144"/>
      <c r="C33" s="145"/>
      <c r="D33" s="3"/>
      <c r="E33" s="146" t="s">
        <v>62</v>
      </c>
      <c r="F33" s="146" t="s">
        <v>139</v>
      </c>
      <c r="G33" s="7" t="s">
        <v>66</v>
      </c>
      <c r="H33" s="7" t="s">
        <v>67</v>
      </c>
      <c r="I33" s="7" t="s">
        <v>68</v>
      </c>
      <c r="J33" s="7" t="s">
        <v>69</v>
      </c>
      <c r="K33" s="7" t="s">
        <v>70</v>
      </c>
      <c r="L33" s="8" t="s">
        <v>71</v>
      </c>
      <c r="M33" s="8" t="s">
        <v>72</v>
      </c>
      <c r="N33" s="8" t="s">
        <v>73</v>
      </c>
      <c r="O33" s="8" t="s">
        <v>74</v>
      </c>
      <c r="P33" s="8" t="s">
        <v>75</v>
      </c>
      <c r="Q33" s="8" t="s">
        <v>76</v>
      </c>
      <c r="R33" s="8" t="s">
        <v>119</v>
      </c>
      <c r="S33" s="8" t="s">
        <v>77</v>
      </c>
      <c r="T33" s="9" t="s">
        <v>78</v>
      </c>
      <c r="U33" s="9" t="s">
        <v>79</v>
      </c>
      <c r="V33" s="7" t="s">
        <v>80</v>
      </c>
      <c r="W33" s="7" t="s">
        <v>81</v>
      </c>
      <c r="X33" s="7" t="s">
        <v>82</v>
      </c>
      <c r="Y33" s="7" t="s">
        <v>83</v>
      </c>
      <c r="Z33" s="10" t="s">
        <v>122</v>
      </c>
      <c r="AA33" s="10" t="s">
        <v>84</v>
      </c>
      <c r="AB33" s="15" t="s">
        <v>85</v>
      </c>
    </row>
    <row r="34" spans="1:29" ht="15.75" thickBot="1">
      <c r="B34" s="131" t="s">
        <v>1</v>
      </c>
      <c r="C34" s="2" t="s">
        <v>2</v>
      </c>
      <c r="D34" s="4"/>
      <c r="E34" s="150"/>
      <c r="F34" s="150"/>
      <c r="G34" s="11"/>
      <c r="H34" s="11"/>
      <c r="I34" s="12"/>
      <c r="J34" s="12">
        <v>0.22</v>
      </c>
      <c r="K34" s="12">
        <v>0.33</v>
      </c>
      <c r="L34" s="12">
        <v>0.06</v>
      </c>
      <c r="M34" s="12">
        <v>0.08</v>
      </c>
      <c r="N34" s="12">
        <v>0.08</v>
      </c>
      <c r="O34" s="12">
        <v>0.01</v>
      </c>
      <c r="P34" s="12"/>
      <c r="Q34" s="12"/>
      <c r="R34" s="12"/>
      <c r="S34" s="12"/>
      <c r="T34" s="13">
        <v>8.3299999999999999E-2</v>
      </c>
      <c r="U34" s="13"/>
      <c r="V34" s="12">
        <v>0.56999999999999995</v>
      </c>
      <c r="W34" s="12"/>
      <c r="X34" s="14"/>
      <c r="Y34" s="14">
        <v>22</v>
      </c>
      <c r="Z34" s="14"/>
      <c r="AA34" s="82">
        <v>0.17</v>
      </c>
    </row>
    <row r="35" spans="1:29">
      <c r="A35">
        <f>+A34+1</f>
        <v>1</v>
      </c>
      <c r="B35" s="107" t="s">
        <v>37</v>
      </c>
      <c r="C35" s="107" t="s">
        <v>38</v>
      </c>
      <c r="D35" s="140" t="s">
        <v>63</v>
      </c>
      <c r="E35" s="140" t="s">
        <v>65</v>
      </c>
      <c r="F35" s="141">
        <v>0.5</v>
      </c>
      <c r="G35" s="16">
        <v>6739</v>
      </c>
      <c r="H35" s="16">
        <f>+G35*1.17</f>
        <v>7884.6299999999992</v>
      </c>
      <c r="I35" s="114">
        <f>+H35-G35</f>
        <v>1145.6299999999992</v>
      </c>
      <c r="J35" s="114"/>
      <c r="K35" s="114">
        <f>+I35*$K$4</f>
        <v>378.05789999999973</v>
      </c>
      <c r="L35" s="114">
        <f>+(I35+J35+K35)*$L$4</f>
        <v>91.42127399999994</v>
      </c>
      <c r="M35" s="115">
        <f>+(I35+J35)*$M$4</f>
        <v>91.650399999999934</v>
      </c>
      <c r="N35" s="115">
        <f>+(J35+I35)*$N$4</f>
        <v>91.650399999999934</v>
      </c>
      <c r="O35" s="115">
        <f>+(J35+K35+I35)*$O$4</f>
        <v>15.236878999999989</v>
      </c>
      <c r="P35" s="115">
        <f t="shared" si="3"/>
        <v>252.11</v>
      </c>
      <c r="Q35" s="115">
        <f t="shared" si="4"/>
        <v>141.27000000000001</v>
      </c>
      <c r="R35" s="115"/>
      <c r="S35" s="115">
        <f>SUM(I35:R35)</f>
        <v>2207.0268529999989</v>
      </c>
      <c r="T35" s="115">
        <f>+$T$4*S35</f>
        <v>183.8453368548999</v>
      </c>
      <c r="U35" s="115">
        <f>+S35+T35</f>
        <v>2390.8721898548988</v>
      </c>
      <c r="V35" s="115">
        <f>+U35*$V$4</f>
        <v>1362.7971482172923</v>
      </c>
      <c r="W35" s="115">
        <f>+U35+V35</f>
        <v>3753.6693380721908</v>
      </c>
      <c r="X35" s="115">
        <f t="shared" si="10"/>
        <v>836</v>
      </c>
      <c r="Y35" s="116"/>
      <c r="Z35" s="116">
        <v>500</v>
      </c>
      <c r="AA35" s="116">
        <f>1330.6*$AA$4</f>
        <v>226.202</v>
      </c>
      <c r="AB35" s="117">
        <f>SUM(W35:AA35)*F35</f>
        <v>2657.9356690360955</v>
      </c>
    </row>
    <row r="36" spans="1:29">
      <c r="A36">
        <f>+A35+1</f>
        <v>2</v>
      </c>
      <c r="B36" s="133" t="s">
        <v>49</v>
      </c>
      <c r="C36" s="133" t="s">
        <v>22</v>
      </c>
      <c r="D36" s="102" t="s">
        <v>63</v>
      </c>
      <c r="E36" s="102" t="s">
        <v>65</v>
      </c>
      <c r="F36" s="106">
        <v>0.5</v>
      </c>
      <c r="G36" s="16">
        <v>4649</v>
      </c>
      <c r="H36" s="16">
        <f>+G36*1.17</f>
        <v>5439.33</v>
      </c>
      <c r="I36" s="114">
        <f>+H36-G36</f>
        <v>790.32999999999993</v>
      </c>
      <c r="J36" s="114"/>
      <c r="K36" s="114">
        <f>+I36*$K$4</f>
        <v>260.80889999999999</v>
      </c>
      <c r="L36" s="114">
        <f>+(I36+J36+K36)*$L$4</f>
        <v>63.068333999999993</v>
      </c>
      <c r="M36" s="115">
        <f>+(I36+J36)*$M$4</f>
        <v>63.226399999999998</v>
      </c>
      <c r="N36" s="115">
        <f>+(J36+I36)*$N$4</f>
        <v>63.226399999999998</v>
      </c>
      <c r="O36" s="115">
        <f>+(J36+K36+I36)*$O$4</f>
        <v>10.511388999999999</v>
      </c>
      <c r="P36" s="115">
        <f t="shared" si="3"/>
        <v>252.11</v>
      </c>
      <c r="Q36" s="115">
        <f t="shared" si="4"/>
        <v>141.27000000000001</v>
      </c>
      <c r="R36" s="115">
        <f>+(I36+K36+N36+O36+P36+R111)*0.1*22/30</f>
        <v>100.97902386000001</v>
      </c>
      <c r="S36" s="115">
        <f>SUM(I36:R36)</f>
        <v>1745.53044686</v>
      </c>
      <c r="T36" s="115">
        <f>+$T$4*S36</f>
        <v>145.402686223438</v>
      </c>
      <c r="U36" s="115">
        <f>+S36+T36</f>
        <v>1890.933133083438</v>
      </c>
      <c r="V36" s="115">
        <f>+U36*$V$4</f>
        <v>1077.8318858575594</v>
      </c>
      <c r="W36" s="115">
        <f>+U36+V36</f>
        <v>2968.7650189409974</v>
      </c>
      <c r="X36" s="115">
        <f t="shared" si="10"/>
        <v>836</v>
      </c>
      <c r="Y36" s="116">
        <f>+(36-31)*$Y$4</f>
        <v>110</v>
      </c>
      <c r="Z36" s="116">
        <v>500</v>
      </c>
      <c r="AA36" s="116">
        <f>931.4*$AA$4</f>
        <v>158.33799999999999</v>
      </c>
      <c r="AB36" s="117">
        <f>SUM(W36:AA36)*F36</f>
        <v>2286.5515094704988</v>
      </c>
    </row>
    <row r="37" spans="1:29" ht="15.75" thickBot="1">
      <c r="A37">
        <f>+A36+1</f>
        <v>3</v>
      </c>
      <c r="B37" s="139" t="s">
        <v>58</v>
      </c>
      <c r="C37" s="139" t="s">
        <v>59</v>
      </c>
      <c r="D37" s="93" t="s">
        <v>63</v>
      </c>
      <c r="E37" s="93" t="s">
        <v>65</v>
      </c>
      <c r="F37" s="78">
        <v>0.5</v>
      </c>
      <c r="G37" s="16">
        <v>6380</v>
      </c>
      <c r="H37" s="16">
        <f>+G37*1.17</f>
        <v>7464.5999999999995</v>
      </c>
      <c r="I37" s="114">
        <f>+H37-G37</f>
        <v>1084.5999999999995</v>
      </c>
      <c r="J37" s="114"/>
      <c r="K37" s="114">
        <f>+I37*$K$4</f>
        <v>357.91799999999984</v>
      </c>
      <c r="L37" s="114">
        <f>+(I37+J37+K37)*$L$4</f>
        <v>86.551079999999956</v>
      </c>
      <c r="M37" s="115">
        <f>+(I37+J37)*$M$4</f>
        <v>86.767999999999958</v>
      </c>
      <c r="N37" s="115">
        <f>+(J37+I37)*$N$4</f>
        <v>86.767999999999958</v>
      </c>
      <c r="O37" s="115">
        <f>+(J37+K37+I37)*$O$4</f>
        <v>14.425179999999994</v>
      </c>
      <c r="P37" s="115">
        <f t="shared" si="3"/>
        <v>252.11</v>
      </c>
      <c r="Q37" s="115">
        <f t="shared" si="4"/>
        <v>141.27000000000001</v>
      </c>
      <c r="R37" s="115">
        <f>+(I37+K37+N37+O37+P37+R114)*0.1*22/30</f>
        <v>131.69355319999997</v>
      </c>
      <c r="S37" s="115">
        <f>SUM(I37:R37)</f>
        <v>2242.103813199999</v>
      </c>
      <c r="T37" s="115">
        <f>+$T$4*S37</f>
        <v>186.76724763955991</v>
      </c>
      <c r="U37" s="115">
        <f>+S37+T37</f>
        <v>2428.871060839559</v>
      </c>
      <c r="V37" s="115">
        <f>+U37*$V$4</f>
        <v>1384.4565046785485</v>
      </c>
      <c r="W37" s="115">
        <f>+U37+V37</f>
        <v>3813.3275655181078</v>
      </c>
      <c r="X37" s="115">
        <f t="shared" si="10"/>
        <v>836</v>
      </c>
      <c r="Y37" s="116">
        <f>+(36-31)*$Y$4</f>
        <v>110</v>
      </c>
      <c r="Z37" s="116">
        <v>500</v>
      </c>
      <c r="AA37" s="116">
        <f>1131*$AA$4</f>
        <v>192.27</v>
      </c>
      <c r="AB37" s="117">
        <f>SUM(W37:AA37)*F37</f>
        <v>2725.7987827590541</v>
      </c>
    </row>
    <row r="38" spans="1:29" ht="15.75" thickBot="1">
      <c r="B38" s="142" t="s">
        <v>60</v>
      </c>
      <c r="C38" s="143"/>
      <c r="D38" s="105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1"/>
      <c r="AB38" s="121">
        <f>SUM(AB35:AB37)</f>
        <v>7670.2859612656484</v>
      </c>
    </row>
    <row r="39" spans="1:29" s="84" customFormat="1">
      <c r="B39" s="85"/>
      <c r="C39" s="85"/>
      <c r="D39" s="85"/>
      <c r="E39" s="86"/>
      <c r="F39" s="86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6"/>
      <c r="T39" s="86"/>
      <c r="U39" s="86"/>
      <c r="V39" s="86"/>
      <c r="W39" s="86"/>
      <c r="X39" s="86"/>
      <c r="Y39" s="86"/>
      <c r="Z39" s="86"/>
      <c r="AA39" s="86"/>
      <c r="AB39" s="86"/>
    </row>
    <row r="40" spans="1:29" ht="26.25" customHeight="1">
      <c r="A40" s="80" t="s">
        <v>142</v>
      </c>
      <c r="J40" s="5"/>
    </row>
    <row r="41" spans="1:29" ht="15.75" thickBot="1">
      <c r="J41" s="6"/>
    </row>
    <row r="42" spans="1:29">
      <c r="B42" s="148" t="s">
        <v>0</v>
      </c>
      <c r="C42" s="149"/>
      <c r="D42" s="3"/>
    </row>
    <row r="43" spans="1:29" ht="46.5" thickBot="1">
      <c r="B43" s="144"/>
      <c r="C43" s="145"/>
      <c r="D43" s="3"/>
      <c r="E43" s="146" t="s">
        <v>62</v>
      </c>
      <c r="F43" s="146" t="s">
        <v>139</v>
      </c>
      <c r="G43" s="7" t="s">
        <v>66</v>
      </c>
      <c r="H43" s="7" t="s">
        <v>67</v>
      </c>
      <c r="I43" s="7" t="s">
        <v>68</v>
      </c>
      <c r="J43" s="7" t="s">
        <v>69</v>
      </c>
      <c r="K43" s="7" t="s">
        <v>70</v>
      </c>
      <c r="L43" s="8" t="s">
        <v>71</v>
      </c>
      <c r="M43" s="8" t="s">
        <v>72</v>
      </c>
      <c r="N43" s="8" t="s">
        <v>73</v>
      </c>
      <c r="O43" s="8" t="s">
        <v>74</v>
      </c>
      <c r="P43" s="8" t="s">
        <v>75</v>
      </c>
      <c r="Q43" s="8" t="s">
        <v>76</v>
      </c>
      <c r="R43" s="8" t="s">
        <v>137</v>
      </c>
      <c r="S43" s="8" t="s">
        <v>119</v>
      </c>
      <c r="T43" s="8" t="s">
        <v>77</v>
      </c>
      <c r="U43" s="9" t="s">
        <v>78</v>
      </c>
      <c r="V43" s="9" t="s">
        <v>79</v>
      </c>
      <c r="W43" s="7" t="s">
        <v>80</v>
      </c>
      <c r="X43" s="7" t="s">
        <v>81</v>
      </c>
      <c r="Y43" s="7" t="s">
        <v>82</v>
      </c>
      <c r="Z43" s="7" t="s">
        <v>83</v>
      </c>
      <c r="AA43" s="10" t="s">
        <v>122</v>
      </c>
      <c r="AB43" s="10" t="s">
        <v>84</v>
      </c>
      <c r="AC43" s="15" t="s">
        <v>85</v>
      </c>
    </row>
    <row r="44" spans="1:29" ht="15.75" thickBot="1">
      <c r="B44" s="1" t="s">
        <v>1</v>
      </c>
      <c r="C44" s="2" t="s">
        <v>2</v>
      </c>
      <c r="D44" s="4"/>
      <c r="E44" s="150"/>
      <c r="F44" s="150"/>
      <c r="G44" s="11"/>
      <c r="H44" s="11"/>
      <c r="I44" s="12"/>
      <c r="J44" s="12">
        <v>0.22</v>
      </c>
      <c r="K44" s="12">
        <v>0.33</v>
      </c>
      <c r="L44" s="12">
        <v>0.06</v>
      </c>
      <c r="M44" s="12">
        <v>0.08</v>
      </c>
      <c r="N44" s="12">
        <v>0.08</v>
      </c>
      <c r="O44" s="12">
        <v>0.01</v>
      </c>
      <c r="P44" s="12"/>
      <c r="Q44" s="12"/>
      <c r="R44" s="12"/>
      <c r="S44" s="12"/>
      <c r="T44" s="12"/>
      <c r="U44" s="13">
        <v>8.3299999999999999E-2</v>
      </c>
      <c r="V44" s="13"/>
      <c r="W44" s="12">
        <v>0.56999999999999995</v>
      </c>
      <c r="X44" s="12"/>
      <c r="Y44" s="14"/>
      <c r="Z44" s="14">
        <v>22</v>
      </c>
      <c r="AA44" s="14"/>
      <c r="AB44" s="82">
        <v>0.17</v>
      </c>
    </row>
    <row r="45" spans="1:29">
      <c r="A45">
        <f>1+A44</f>
        <v>1</v>
      </c>
      <c r="B45" s="95" t="s">
        <v>7</v>
      </c>
      <c r="C45" s="95" t="s">
        <v>8</v>
      </c>
      <c r="D45" s="93" t="s">
        <v>63</v>
      </c>
      <c r="E45" s="88" t="s">
        <v>65</v>
      </c>
      <c r="F45" s="89">
        <v>0.15</v>
      </c>
      <c r="G45" s="16">
        <v>5299</v>
      </c>
      <c r="H45" s="16">
        <f t="shared" ref="H45:H54" si="17">+G45*1.17</f>
        <v>6199.83</v>
      </c>
      <c r="I45" s="114">
        <f t="shared" ref="I45:I54" si="18">+H45-G45</f>
        <v>900.82999999999993</v>
      </c>
      <c r="J45" s="114">
        <f>(I45)*$J$4</f>
        <v>198.18259999999998</v>
      </c>
      <c r="K45" s="114"/>
      <c r="L45" s="114">
        <f>+(I45+J45)*$L$4</f>
        <v>65.940755999999993</v>
      </c>
      <c r="M45" s="115"/>
      <c r="N45" s="115"/>
      <c r="O45" s="115">
        <f t="shared" ref="O45:O54" si="19">+(J45+K45+I45)*$O$4</f>
        <v>10.990126</v>
      </c>
      <c r="P45" s="115">
        <f t="shared" ref="P45:P50" si="20">1483*0.17</f>
        <v>252.11</v>
      </c>
      <c r="Q45" s="115">
        <f t="shared" ref="Q45:Q50" si="21">831*0.17</f>
        <v>141.27000000000001</v>
      </c>
      <c r="R45" s="115"/>
      <c r="S45" s="115"/>
      <c r="T45" s="115">
        <f>SUM(I45:S45)</f>
        <v>1569.3234819999998</v>
      </c>
      <c r="U45" s="115">
        <f>+T45*$U$44</f>
        <v>130.72464605059997</v>
      </c>
      <c r="V45" s="115">
        <f t="shared" ref="V45:V54" si="22">+T45+U45</f>
        <v>1700.0481280505996</v>
      </c>
      <c r="W45" s="115">
        <f>+V45*$W$44</f>
        <v>969.02743298884172</v>
      </c>
      <c r="X45" s="115">
        <f t="shared" ref="X45:X54" si="23">+V45+W45</f>
        <v>2669.0755610394413</v>
      </c>
      <c r="Y45" s="115">
        <f>44*(129-110)</f>
        <v>836</v>
      </c>
      <c r="Z45" s="116"/>
      <c r="AA45" s="116">
        <v>500</v>
      </c>
      <c r="AB45" s="116"/>
      <c r="AC45" s="117">
        <f>SUM(X45:AB45)*F45</f>
        <v>600.76133415591619</v>
      </c>
    </row>
    <row r="46" spans="1:29">
      <c r="A46">
        <v>1</v>
      </c>
      <c r="B46" s="95" t="s">
        <v>20</v>
      </c>
      <c r="C46" s="95" t="s">
        <v>32</v>
      </c>
      <c r="D46" s="93" t="s">
        <v>63</v>
      </c>
      <c r="E46" s="88" t="s">
        <v>65</v>
      </c>
      <c r="F46" s="89">
        <v>1</v>
      </c>
      <c r="G46" s="16">
        <v>6739</v>
      </c>
      <c r="H46" s="16">
        <f t="shared" si="17"/>
        <v>7884.6299999999992</v>
      </c>
      <c r="I46" s="114">
        <f t="shared" si="18"/>
        <v>1145.6299999999992</v>
      </c>
      <c r="J46" s="114"/>
      <c r="K46" s="114">
        <f>+I46*$K$44</f>
        <v>378.05789999999973</v>
      </c>
      <c r="L46" s="114">
        <f>+(I46+J46)*$L$4</f>
        <v>68.73779999999995</v>
      </c>
      <c r="M46" s="115">
        <f>+(I46+J46)*$M$4</f>
        <v>91.650399999999934</v>
      </c>
      <c r="N46" s="115">
        <f>+(J46+I46)*$N$4</f>
        <v>91.650399999999934</v>
      </c>
      <c r="O46" s="115">
        <f t="shared" si="19"/>
        <v>15.236878999999989</v>
      </c>
      <c r="P46" s="115">
        <f t="shared" si="20"/>
        <v>252.11</v>
      </c>
      <c r="Q46" s="115">
        <f t="shared" si="21"/>
        <v>141.27000000000001</v>
      </c>
      <c r="R46" s="115">
        <f t="shared" ref="R46:R54" si="24">2775-2372</f>
        <v>403</v>
      </c>
      <c r="S46" s="115">
        <f>+(I46+K46+N46+O46+P46+R121)*0.1*22/30</f>
        <v>138.06357979333328</v>
      </c>
      <c r="T46" s="115">
        <f t="shared" ref="T46:T54" si="25">SUM(I46:S46)</f>
        <v>2725.4069587933323</v>
      </c>
      <c r="U46" s="115">
        <f t="shared" ref="U46:U54" si="26">+T46*$U$44</f>
        <v>227.02639966748458</v>
      </c>
      <c r="V46" s="115">
        <f t="shared" si="22"/>
        <v>2952.4333584608166</v>
      </c>
      <c r="W46" s="115">
        <f t="shared" ref="W46:W54" si="27">+V46*$W$44</f>
        <v>1682.8870143226654</v>
      </c>
      <c r="X46" s="115">
        <f t="shared" si="23"/>
        <v>4635.3203727834825</v>
      </c>
      <c r="Y46" s="115">
        <f>44*(129-110)</f>
        <v>836</v>
      </c>
      <c r="Z46" s="116">
        <f>+(36-31)*$Y$4</f>
        <v>110</v>
      </c>
      <c r="AA46" s="116">
        <v>500</v>
      </c>
      <c r="AB46" s="116">
        <f>931*AB44</f>
        <v>158.27000000000001</v>
      </c>
      <c r="AC46" s="117">
        <f t="shared" ref="AC46:AC54" si="28">SUM(X46:AB46)*F46</f>
        <v>6239.590372783483</v>
      </c>
    </row>
    <row r="47" spans="1:29">
      <c r="A47">
        <f>+A46+1</f>
        <v>2</v>
      </c>
      <c r="B47" s="95" t="s">
        <v>9</v>
      </c>
      <c r="C47" s="95" t="s">
        <v>136</v>
      </c>
      <c r="D47" s="93" t="s">
        <v>63</v>
      </c>
      <c r="E47" s="88" t="s">
        <v>65</v>
      </c>
      <c r="F47" s="89">
        <v>1</v>
      </c>
      <c r="G47" s="16">
        <v>4649</v>
      </c>
      <c r="H47" s="16">
        <f t="shared" si="17"/>
        <v>5439.33</v>
      </c>
      <c r="I47" s="114">
        <f t="shared" si="18"/>
        <v>790.32999999999993</v>
      </c>
      <c r="J47" s="114"/>
      <c r="K47" s="114">
        <f>+I47*$K$44</f>
        <v>260.80889999999999</v>
      </c>
      <c r="L47" s="114">
        <f>+(I47+J47)*$L$4</f>
        <v>47.419799999999995</v>
      </c>
      <c r="M47" s="115">
        <f>+(I47+J47)*$M$4</f>
        <v>63.226399999999998</v>
      </c>
      <c r="N47" s="115">
        <f>+(J47+I47)*$N$4</f>
        <v>63.226399999999998</v>
      </c>
      <c r="O47" s="115">
        <f t="shared" si="19"/>
        <v>10.511388999999999</v>
      </c>
      <c r="P47" s="115">
        <f t="shared" si="20"/>
        <v>252.11</v>
      </c>
      <c r="Q47" s="115">
        <f t="shared" si="21"/>
        <v>141.27000000000001</v>
      </c>
      <c r="R47" s="115">
        <f t="shared" si="24"/>
        <v>403</v>
      </c>
      <c r="S47" s="115">
        <f>+(I47+K47+N47+O47+P47+R122)*0.1*22/30</f>
        <v>100.97902386000001</v>
      </c>
      <c r="T47" s="115">
        <f t="shared" si="25"/>
        <v>2132.8819128599998</v>
      </c>
      <c r="U47" s="115">
        <f t="shared" si="26"/>
        <v>177.66906334123797</v>
      </c>
      <c r="V47" s="115">
        <f t="shared" si="22"/>
        <v>2310.550976201238</v>
      </c>
      <c r="W47" s="115">
        <f t="shared" si="27"/>
        <v>1317.0140564347055</v>
      </c>
      <c r="X47" s="115">
        <f t="shared" si="23"/>
        <v>3627.5650326359437</v>
      </c>
      <c r="Y47" s="115">
        <f>44*(129-110)</f>
        <v>836</v>
      </c>
      <c r="Z47" s="116">
        <f>+(36-31)*$Y$4</f>
        <v>110</v>
      </c>
      <c r="AA47" s="116">
        <v>500</v>
      </c>
      <c r="AB47" s="116">
        <f>1330*AB44</f>
        <v>226.10000000000002</v>
      </c>
      <c r="AC47" s="117">
        <f t="shared" si="28"/>
        <v>5299.665032635944</v>
      </c>
    </row>
    <row r="48" spans="1:29">
      <c r="A48">
        <f t="shared" ref="A48:A54" si="29">+A47+1</f>
        <v>3</v>
      </c>
      <c r="B48" s="95" t="s">
        <v>131</v>
      </c>
      <c r="C48" s="95" t="s">
        <v>130</v>
      </c>
      <c r="D48" s="93" t="s">
        <v>63</v>
      </c>
      <c r="E48" s="88" t="s">
        <v>65</v>
      </c>
      <c r="F48" s="89">
        <v>1</v>
      </c>
      <c r="G48" s="16">
        <v>5068</v>
      </c>
      <c r="H48" s="16">
        <f t="shared" si="17"/>
        <v>5929.5599999999995</v>
      </c>
      <c r="I48" s="114">
        <f t="shared" si="18"/>
        <v>861.55999999999949</v>
      </c>
      <c r="J48" s="114">
        <f>(I48)*$J$4</f>
        <v>189.5431999999999</v>
      </c>
      <c r="K48" s="114"/>
      <c r="L48" s="114">
        <f>+(I48+J48)*$L$4</f>
        <v>63.066191999999958</v>
      </c>
      <c r="M48" s="115">
        <f>+(I48+J48)*$M$4</f>
        <v>84.088255999999944</v>
      </c>
      <c r="N48" s="115">
        <f>+(J48+I48)*$N$4</f>
        <v>84.088255999999944</v>
      </c>
      <c r="O48" s="115">
        <f t="shared" si="19"/>
        <v>10.511031999999993</v>
      </c>
      <c r="P48" s="115">
        <f t="shared" si="20"/>
        <v>252.11</v>
      </c>
      <c r="Q48" s="115">
        <f t="shared" si="21"/>
        <v>141.27000000000001</v>
      </c>
      <c r="R48" s="115">
        <f t="shared" si="24"/>
        <v>403</v>
      </c>
      <c r="S48" s="115"/>
      <c r="T48" s="115">
        <f t="shared" si="25"/>
        <v>2089.2369359999993</v>
      </c>
      <c r="U48" s="115">
        <f t="shared" si="26"/>
        <v>174.03343676879993</v>
      </c>
      <c r="V48" s="115">
        <f t="shared" si="22"/>
        <v>2263.2703727687995</v>
      </c>
      <c r="W48" s="115">
        <f t="shared" si="27"/>
        <v>1290.0641124782155</v>
      </c>
      <c r="X48" s="115">
        <f t="shared" si="23"/>
        <v>3553.334485247015</v>
      </c>
      <c r="Y48" s="115">
        <f>+Y47</f>
        <v>836</v>
      </c>
      <c r="Z48" s="116"/>
      <c r="AA48" s="116">
        <f>+AA47</f>
        <v>500</v>
      </c>
      <c r="AB48" s="116"/>
      <c r="AC48" s="117">
        <f t="shared" si="28"/>
        <v>4889.3344852470145</v>
      </c>
    </row>
    <row r="49" spans="1:29">
      <c r="A49">
        <f t="shared" si="29"/>
        <v>4</v>
      </c>
      <c r="B49" s="95" t="s">
        <v>20</v>
      </c>
      <c r="C49" s="95" t="s">
        <v>61</v>
      </c>
      <c r="D49" s="93" t="s">
        <v>63</v>
      </c>
      <c r="E49" s="88" t="s">
        <v>65</v>
      </c>
      <c r="F49" s="89">
        <v>0.35</v>
      </c>
      <c r="G49" s="16">
        <v>4649</v>
      </c>
      <c r="H49" s="16">
        <f t="shared" si="17"/>
        <v>5439.33</v>
      </c>
      <c r="I49" s="114">
        <f t="shared" si="18"/>
        <v>790.32999999999993</v>
      </c>
      <c r="J49" s="114">
        <f>(I49)*$J$4</f>
        <v>173.87259999999998</v>
      </c>
      <c r="K49" s="114"/>
      <c r="L49" s="114">
        <f>+(I49+J49+K49)*$L$4</f>
        <v>57.852155999999987</v>
      </c>
      <c r="M49" s="115">
        <f t="shared" ref="M49:M54" si="30">+(I49+J49)*$M$4</f>
        <v>77.136207999999996</v>
      </c>
      <c r="N49" s="115">
        <f t="shared" ref="N49:N54" si="31">+(J49+I49)*$N$4</f>
        <v>77.136207999999996</v>
      </c>
      <c r="O49" s="115">
        <f t="shared" si="19"/>
        <v>9.6420259999999995</v>
      </c>
      <c r="P49" s="115">
        <f>1483*0.17</f>
        <v>252.11</v>
      </c>
      <c r="Q49" s="115">
        <f>831*0.17</f>
        <v>141.27000000000001</v>
      </c>
      <c r="R49" s="115">
        <f t="shared" si="24"/>
        <v>403</v>
      </c>
      <c r="S49" s="115"/>
      <c r="T49" s="115">
        <f t="shared" si="25"/>
        <v>1982.3491979999999</v>
      </c>
      <c r="U49" s="115">
        <f t="shared" si="26"/>
        <v>165.1296881934</v>
      </c>
      <c r="V49" s="115">
        <f t="shared" si="22"/>
        <v>2147.4788861933998</v>
      </c>
      <c r="W49" s="115">
        <f t="shared" si="27"/>
        <v>1224.0629651302379</v>
      </c>
      <c r="X49" s="115">
        <f t="shared" si="23"/>
        <v>3371.5418513236377</v>
      </c>
      <c r="Y49" s="115">
        <f t="shared" ref="Y49:Y54" si="32">44*(129-110)</f>
        <v>836</v>
      </c>
      <c r="Z49" s="116"/>
      <c r="AA49" s="116">
        <v>500</v>
      </c>
      <c r="AB49" s="116"/>
      <c r="AC49" s="117">
        <f t="shared" si="28"/>
        <v>1647.6396479632733</v>
      </c>
    </row>
    <row r="50" spans="1:29">
      <c r="A50">
        <f t="shared" si="29"/>
        <v>5</v>
      </c>
      <c r="B50" s="95" t="s">
        <v>132</v>
      </c>
      <c r="C50" s="96" t="s">
        <v>129</v>
      </c>
      <c r="D50" s="93" t="s">
        <v>63</v>
      </c>
      <c r="E50" s="88" t="s">
        <v>65</v>
      </c>
      <c r="F50" s="89">
        <v>1</v>
      </c>
      <c r="G50" s="16">
        <v>5068</v>
      </c>
      <c r="H50" s="16">
        <f t="shared" si="17"/>
        <v>5929.5599999999995</v>
      </c>
      <c r="I50" s="114">
        <f t="shared" si="18"/>
        <v>861.55999999999949</v>
      </c>
      <c r="J50" s="114"/>
      <c r="K50" s="114">
        <f>+I50*$K$44</f>
        <v>284.31479999999982</v>
      </c>
      <c r="L50" s="114">
        <f>+(I50+J50)*$L$4</f>
        <v>51.693599999999968</v>
      </c>
      <c r="M50" s="115">
        <f t="shared" si="30"/>
        <v>68.924799999999962</v>
      </c>
      <c r="N50" s="115">
        <f t="shared" si="31"/>
        <v>68.924799999999962</v>
      </c>
      <c r="O50" s="115">
        <f t="shared" si="19"/>
        <v>11.458747999999995</v>
      </c>
      <c r="P50" s="115">
        <f t="shared" si="20"/>
        <v>252.11</v>
      </c>
      <c r="Q50" s="115">
        <f t="shared" si="21"/>
        <v>141.27000000000001</v>
      </c>
      <c r="R50" s="115">
        <f t="shared" si="24"/>
        <v>403</v>
      </c>
      <c r="S50" s="115">
        <f>+(I50+K50+N50+O50+P50+R125)*0.1*22/30</f>
        <v>108.41367885333331</v>
      </c>
      <c r="T50" s="115">
        <f t="shared" si="25"/>
        <v>2251.6704268533326</v>
      </c>
      <c r="U50" s="115">
        <f t="shared" si="26"/>
        <v>187.5641465568826</v>
      </c>
      <c r="V50" s="115">
        <f t="shared" si="22"/>
        <v>2439.234573410215</v>
      </c>
      <c r="W50" s="115">
        <f t="shared" si="27"/>
        <v>1390.3637068438225</v>
      </c>
      <c r="X50" s="115">
        <f t="shared" si="23"/>
        <v>3829.5982802540375</v>
      </c>
      <c r="Y50" s="115">
        <f t="shared" si="32"/>
        <v>836</v>
      </c>
      <c r="Z50" s="116"/>
      <c r="AA50" s="116">
        <v>500</v>
      </c>
      <c r="AB50" s="116"/>
      <c r="AC50" s="117">
        <f t="shared" si="28"/>
        <v>5165.5982802540375</v>
      </c>
    </row>
    <row r="51" spans="1:29">
      <c r="A51">
        <f>1+A50</f>
        <v>6</v>
      </c>
      <c r="B51" s="95" t="s">
        <v>35</v>
      </c>
      <c r="C51" s="94" t="s">
        <v>36</v>
      </c>
      <c r="D51" s="93" t="s">
        <v>63</v>
      </c>
      <c r="E51" s="88" t="s">
        <v>65</v>
      </c>
      <c r="F51" s="89">
        <v>0.15</v>
      </c>
      <c r="G51" s="16">
        <v>5299</v>
      </c>
      <c r="H51" s="16">
        <f t="shared" si="17"/>
        <v>6199.83</v>
      </c>
      <c r="I51" s="114">
        <f t="shared" si="18"/>
        <v>900.82999999999993</v>
      </c>
      <c r="J51" s="114">
        <f>(I51)*$J$4</f>
        <v>198.18259999999998</v>
      </c>
      <c r="K51" s="114"/>
      <c r="L51" s="114">
        <f>+(I51+J51+K51)*$L$4</f>
        <v>65.940755999999993</v>
      </c>
      <c r="M51" s="115">
        <f t="shared" si="30"/>
        <v>87.921008</v>
      </c>
      <c r="N51" s="115"/>
      <c r="O51" s="115">
        <f t="shared" si="19"/>
        <v>10.990126</v>
      </c>
      <c r="P51" s="115">
        <f>1483*0.17</f>
        <v>252.11</v>
      </c>
      <c r="Q51" s="115">
        <f>791*0.17</f>
        <v>134.47</v>
      </c>
      <c r="R51" s="115"/>
      <c r="S51" s="115"/>
      <c r="T51" s="115">
        <f t="shared" si="25"/>
        <v>1650.4444900000001</v>
      </c>
      <c r="U51" s="115">
        <f t="shared" si="26"/>
        <v>137.48202601700001</v>
      </c>
      <c r="V51" s="115">
        <f t="shared" si="22"/>
        <v>1787.926516017</v>
      </c>
      <c r="W51" s="115">
        <f t="shared" si="27"/>
        <v>1019.11811412969</v>
      </c>
      <c r="X51" s="115">
        <f t="shared" si="23"/>
        <v>2807.04463014669</v>
      </c>
      <c r="Y51" s="115">
        <f t="shared" si="32"/>
        <v>836</v>
      </c>
      <c r="Z51" s="116"/>
      <c r="AA51" s="116">
        <v>500</v>
      </c>
      <c r="AB51" s="116"/>
      <c r="AC51" s="117">
        <f t="shared" si="28"/>
        <v>621.45669452200343</v>
      </c>
    </row>
    <row r="52" spans="1:29">
      <c r="A52">
        <f>+A50+1</f>
        <v>6</v>
      </c>
      <c r="B52" s="95" t="s">
        <v>133</v>
      </c>
      <c r="C52" s="96" t="s">
        <v>128</v>
      </c>
      <c r="D52" s="93" t="s">
        <v>63</v>
      </c>
      <c r="E52" s="88" t="s">
        <v>65</v>
      </c>
      <c r="F52" s="89">
        <v>1</v>
      </c>
      <c r="G52" s="16">
        <v>5818</v>
      </c>
      <c r="H52" s="16">
        <f t="shared" si="17"/>
        <v>6807.0599999999995</v>
      </c>
      <c r="I52" s="114">
        <f t="shared" si="18"/>
        <v>989.05999999999949</v>
      </c>
      <c r="J52" s="114">
        <f>(I52)*$J$4</f>
        <v>217.59319999999988</v>
      </c>
      <c r="K52" s="114"/>
      <c r="L52" s="114">
        <f>+(I52+J52+K52)*$L$4</f>
        <v>72.399191999999957</v>
      </c>
      <c r="M52" s="115">
        <f t="shared" si="30"/>
        <v>96.532255999999947</v>
      </c>
      <c r="N52" s="115">
        <f t="shared" si="31"/>
        <v>96.532255999999947</v>
      </c>
      <c r="O52" s="115">
        <f t="shared" si="19"/>
        <v>12.066531999999993</v>
      </c>
      <c r="P52" s="115">
        <f>1483*0.17</f>
        <v>252.11</v>
      </c>
      <c r="Q52" s="115">
        <f>831*0.17</f>
        <v>141.27000000000001</v>
      </c>
      <c r="R52" s="115">
        <f t="shared" si="24"/>
        <v>403</v>
      </c>
      <c r="S52" s="114"/>
      <c r="T52" s="115">
        <f t="shared" si="25"/>
        <v>2280.563435999999</v>
      </c>
      <c r="U52" s="115">
        <f t="shared" si="26"/>
        <v>189.97093421879993</v>
      </c>
      <c r="V52" s="115">
        <f t="shared" si="22"/>
        <v>2470.5343702187988</v>
      </c>
      <c r="W52" s="115">
        <f t="shared" si="27"/>
        <v>1408.2045910247152</v>
      </c>
      <c r="X52" s="115">
        <f t="shared" si="23"/>
        <v>3878.738961243514</v>
      </c>
      <c r="Y52" s="115">
        <f t="shared" si="32"/>
        <v>836</v>
      </c>
      <c r="Z52" s="114"/>
      <c r="AA52" s="116">
        <v>500</v>
      </c>
      <c r="AB52" s="114"/>
      <c r="AC52" s="117">
        <f t="shared" si="28"/>
        <v>5214.7389612435145</v>
      </c>
    </row>
    <row r="53" spans="1:29">
      <c r="A53">
        <f t="shared" si="29"/>
        <v>7</v>
      </c>
      <c r="B53" s="95" t="s">
        <v>46</v>
      </c>
      <c r="C53" s="97" t="s">
        <v>47</v>
      </c>
      <c r="D53" s="93" t="s">
        <v>63</v>
      </c>
      <c r="E53" s="88" t="s">
        <v>65</v>
      </c>
      <c r="F53" s="89">
        <v>1</v>
      </c>
      <c r="G53" s="16">
        <v>6380</v>
      </c>
      <c r="H53" s="16">
        <f t="shared" si="17"/>
        <v>7464.5999999999995</v>
      </c>
      <c r="I53" s="114">
        <f t="shared" si="18"/>
        <v>1084.5999999999995</v>
      </c>
      <c r="J53" s="114"/>
      <c r="K53" s="114">
        <f>+I53*$K$44</f>
        <v>357.91799999999984</v>
      </c>
      <c r="L53" s="114">
        <f>+(I53+J53)*$L$4</f>
        <v>65.075999999999965</v>
      </c>
      <c r="M53" s="115">
        <f t="shared" si="30"/>
        <v>86.767999999999958</v>
      </c>
      <c r="N53" s="115">
        <f t="shared" si="31"/>
        <v>86.767999999999958</v>
      </c>
      <c r="O53" s="115">
        <f t="shared" si="19"/>
        <v>14.425179999999994</v>
      </c>
      <c r="P53" s="115">
        <f>1483*0.17</f>
        <v>252.11</v>
      </c>
      <c r="Q53" s="115">
        <f>831*0.17</f>
        <v>141.27000000000001</v>
      </c>
      <c r="R53" s="115">
        <f t="shared" si="24"/>
        <v>403</v>
      </c>
      <c r="S53" s="114"/>
      <c r="T53" s="115">
        <f t="shared" si="25"/>
        <v>2491.9351799999995</v>
      </c>
      <c r="U53" s="115">
        <f t="shared" si="26"/>
        <v>207.57820049399996</v>
      </c>
      <c r="V53" s="115">
        <f t="shared" si="22"/>
        <v>2699.5133804939996</v>
      </c>
      <c r="W53" s="115">
        <f t="shared" si="27"/>
        <v>1538.7226268815796</v>
      </c>
      <c r="X53" s="115">
        <f t="shared" si="23"/>
        <v>4238.236007375579</v>
      </c>
      <c r="Y53" s="115">
        <f t="shared" si="32"/>
        <v>836</v>
      </c>
      <c r="Z53" s="114"/>
      <c r="AA53" s="116">
        <v>500</v>
      </c>
      <c r="AB53" s="116">
        <f>1131*$AA$4</f>
        <v>192.27</v>
      </c>
      <c r="AC53" s="117">
        <f t="shared" si="28"/>
        <v>5766.5060073755794</v>
      </c>
    </row>
    <row r="54" spans="1:29" ht="15.75" thickBot="1">
      <c r="A54">
        <f t="shared" si="29"/>
        <v>8</v>
      </c>
      <c r="B54" s="94" t="s">
        <v>134</v>
      </c>
      <c r="C54" s="94" t="s">
        <v>135</v>
      </c>
      <c r="D54" s="102" t="s">
        <v>63</v>
      </c>
      <c r="E54" s="103" t="s">
        <v>65</v>
      </c>
      <c r="F54" s="104">
        <v>1</v>
      </c>
      <c r="G54" s="16">
        <v>5068</v>
      </c>
      <c r="H54" s="16">
        <f t="shared" si="17"/>
        <v>5929.5599999999995</v>
      </c>
      <c r="I54" s="114">
        <f t="shared" si="18"/>
        <v>861.55999999999949</v>
      </c>
      <c r="J54" s="114"/>
      <c r="K54" s="114">
        <f>+I54*$K$44</f>
        <v>284.31479999999982</v>
      </c>
      <c r="L54" s="114">
        <f>+(I54+J54)*$L$4</f>
        <v>51.693599999999968</v>
      </c>
      <c r="M54" s="115">
        <f t="shared" si="30"/>
        <v>68.924799999999962</v>
      </c>
      <c r="N54" s="115">
        <f t="shared" si="31"/>
        <v>68.924799999999962</v>
      </c>
      <c r="O54" s="115">
        <f t="shared" si="19"/>
        <v>11.458747999999995</v>
      </c>
      <c r="P54" s="115">
        <f>1483*0.17</f>
        <v>252.11</v>
      </c>
      <c r="Q54" s="115">
        <f>831*0.17</f>
        <v>141.27000000000001</v>
      </c>
      <c r="R54" s="115">
        <f t="shared" si="24"/>
        <v>403</v>
      </c>
      <c r="S54" s="115">
        <f>+(I54+K54+N54+O54+P54+R129)*0.1*22/30</f>
        <v>108.41367885333331</v>
      </c>
      <c r="T54" s="115">
        <f t="shared" si="25"/>
        <v>2251.6704268533326</v>
      </c>
      <c r="U54" s="115">
        <f t="shared" si="26"/>
        <v>187.5641465568826</v>
      </c>
      <c r="V54" s="115">
        <f t="shared" si="22"/>
        <v>2439.234573410215</v>
      </c>
      <c r="W54" s="115">
        <f t="shared" si="27"/>
        <v>1390.3637068438225</v>
      </c>
      <c r="X54" s="115">
        <f t="shared" si="23"/>
        <v>3829.5982802540375</v>
      </c>
      <c r="Y54" s="115">
        <f t="shared" si="32"/>
        <v>836</v>
      </c>
      <c r="Z54" s="114"/>
      <c r="AA54" s="116">
        <v>500</v>
      </c>
      <c r="AB54" s="114"/>
      <c r="AC54" s="117">
        <f t="shared" si="28"/>
        <v>5165.5982802540375</v>
      </c>
    </row>
    <row r="55" spans="1:29" ht="15.75" thickBot="1">
      <c r="B55" s="142" t="s">
        <v>60</v>
      </c>
      <c r="C55" s="143"/>
      <c r="D55" s="105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1"/>
      <c r="AC55" s="123">
        <f>SUM(AC45:AC54)</f>
        <v>40610.889096434803</v>
      </c>
    </row>
    <row r="56" spans="1:29" s="84" customFormat="1">
      <c r="B56" s="85"/>
      <c r="C56" s="85"/>
      <c r="D56" s="85"/>
      <c r="E56" s="86"/>
      <c r="F56" s="86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6"/>
      <c r="T56" s="86"/>
      <c r="U56" s="86"/>
      <c r="V56" s="86"/>
      <c r="W56" s="86"/>
      <c r="X56" s="86"/>
      <c r="Y56" s="86"/>
      <c r="Z56" s="86"/>
      <c r="AA56" s="86"/>
      <c r="AB56" s="86"/>
    </row>
    <row r="57" spans="1:29">
      <c r="A57" s="80" t="s">
        <v>143</v>
      </c>
    </row>
    <row r="58" spans="1:29" ht="15.75" thickBot="1">
      <c r="C58" s="80"/>
    </row>
    <row r="59" spans="1:29" ht="69" thickBot="1">
      <c r="B59" s="148" t="s">
        <v>0</v>
      </c>
      <c r="C59" s="149"/>
      <c r="D59" s="3"/>
      <c r="G59" s="14" t="s">
        <v>121</v>
      </c>
      <c r="H59" s="14" t="s">
        <v>120</v>
      </c>
      <c r="I59" s="14" t="s">
        <v>123</v>
      </c>
      <c r="J59" s="14" t="s">
        <v>124</v>
      </c>
      <c r="K59" s="14" t="s">
        <v>86</v>
      </c>
      <c r="L59" s="14" t="s">
        <v>87</v>
      </c>
      <c r="M59" s="22" t="s">
        <v>88</v>
      </c>
      <c r="N59" s="23" t="s">
        <v>78</v>
      </c>
      <c r="O59" s="22" t="s">
        <v>89</v>
      </c>
      <c r="P59" s="14" t="s">
        <v>90</v>
      </c>
      <c r="Q59" s="14" t="s">
        <v>91</v>
      </c>
      <c r="R59" s="14" t="s">
        <v>92</v>
      </c>
      <c r="S59" s="24"/>
    </row>
    <row r="60" spans="1:29" ht="15.75" thickBot="1">
      <c r="B60" s="144"/>
      <c r="C60" s="145"/>
      <c r="D60" s="3"/>
      <c r="E60" s="146" t="s">
        <v>62</v>
      </c>
      <c r="F60" s="146" t="s">
        <v>139</v>
      </c>
      <c r="G60" s="25"/>
      <c r="H60" s="25"/>
      <c r="I60" s="25"/>
      <c r="J60" s="25"/>
      <c r="K60" s="25"/>
      <c r="L60" s="25"/>
      <c r="M60" s="26"/>
      <c r="N60" s="27">
        <v>8.3299999999999999E-2</v>
      </c>
      <c r="O60" s="27"/>
      <c r="P60" s="26">
        <v>0.56999999999999995</v>
      </c>
      <c r="Q60" s="26"/>
      <c r="R60" s="26"/>
      <c r="S60" s="28" t="s">
        <v>85</v>
      </c>
    </row>
    <row r="61" spans="1:29" ht="15.75" thickBot="1">
      <c r="B61" s="1" t="s">
        <v>1</v>
      </c>
      <c r="C61" s="2" t="s">
        <v>2</v>
      </c>
      <c r="D61" s="4"/>
      <c r="E61" s="150"/>
      <c r="F61" s="150"/>
      <c r="G61" s="29"/>
      <c r="H61" s="30"/>
      <c r="I61" s="30"/>
      <c r="J61" s="30"/>
      <c r="K61" s="31"/>
      <c r="L61" s="30"/>
      <c r="M61" s="30"/>
      <c r="N61" s="31"/>
      <c r="O61" s="29"/>
      <c r="P61" s="29"/>
      <c r="Q61" s="29"/>
      <c r="R61" s="29"/>
      <c r="S61" s="32"/>
    </row>
    <row r="62" spans="1:29">
      <c r="A62">
        <v>1</v>
      </c>
      <c r="B62" s="95" t="s">
        <v>20</v>
      </c>
      <c r="C62" s="94" t="s">
        <v>21</v>
      </c>
      <c r="D62" s="93" t="s">
        <v>64</v>
      </c>
      <c r="E62" s="88" t="s">
        <v>65</v>
      </c>
      <c r="F62" s="89">
        <v>0.5</v>
      </c>
      <c r="G62" s="124">
        <v>26940.47</v>
      </c>
      <c r="H62" s="124">
        <v>7162.42</v>
      </c>
      <c r="I62" s="124">
        <f t="shared" ref="I62:J67" si="33">+G62*1.17</f>
        <v>31520.349900000001</v>
      </c>
      <c r="J62" s="124">
        <f t="shared" si="33"/>
        <v>8380.0313999999998</v>
      </c>
      <c r="K62" s="124">
        <f t="shared" ref="K62:L67" si="34">+I62-G62</f>
        <v>4579.8798999999999</v>
      </c>
      <c r="L62" s="124">
        <f t="shared" si="34"/>
        <v>1217.6113999999998</v>
      </c>
      <c r="M62" s="124">
        <f t="shared" ref="M62:M67" si="35">+K62+L62</f>
        <v>5797.4912999999997</v>
      </c>
      <c r="N62" s="124">
        <f t="shared" ref="N62:N67" si="36">+M62*$N$60</f>
        <v>482.93102528999998</v>
      </c>
      <c r="O62" s="124">
        <f t="shared" ref="O62:O67" si="37">+M62+N62</f>
        <v>6280.4223252899992</v>
      </c>
      <c r="P62" s="124">
        <f t="shared" ref="P62:P67" si="38">+O62*0.57</f>
        <v>3579.8407254152994</v>
      </c>
      <c r="Q62" s="124">
        <v>500</v>
      </c>
      <c r="R62" s="124"/>
      <c r="S62" s="125">
        <f t="shared" ref="S62:S67" si="39">(+O62+P62+Q62)*F62</f>
        <v>5180.1315253526491</v>
      </c>
    </row>
    <row r="63" spans="1:29">
      <c r="A63">
        <f>+A62+1</f>
        <v>2</v>
      </c>
      <c r="B63" s="95" t="s">
        <v>20</v>
      </c>
      <c r="C63" s="92" t="s">
        <v>22</v>
      </c>
      <c r="D63" s="93" t="s">
        <v>64</v>
      </c>
      <c r="E63" s="88" t="s">
        <v>65</v>
      </c>
      <c r="F63" s="89">
        <v>0.5</v>
      </c>
      <c r="G63" s="124">
        <f>+G62</f>
        <v>26940.47</v>
      </c>
      <c r="H63" s="124">
        <f>+H62</f>
        <v>7162.42</v>
      </c>
      <c r="I63" s="124">
        <f t="shared" si="33"/>
        <v>31520.349900000001</v>
      </c>
      <c r="J63" s="124">
        <f t="shared" si="33"/>
        <v>8380.0313999999998</v>
      </c>
      <c r="K63" s="124">
        <f t="shared" si="34"/>
        <v>4579.8798999999999</v>
      </c>
      <c r="L63" s="124">
        <f t="shared" si="34"/>
        <v>1217.6113999999998</v>
      </c>
      <c r="M63" s="124">
        <f t="shared" si="35"/>
        <v>5797.4912999999997</v>
      </c>
      <c r="N63" s="124">
        <f t="shared" si="36"/>
        <v>482.93102528999998</v>
      </c>
      <c r="O63" s="124">
        <f t="shared" si="37"/>
        <v>6280.4223252899992</v>
      </c>
      <c r="P63" s="124">
        <f t="shared" si="38"/>
        <v>3579.8407254152994</v>
      </c>
      <c r="Q63" s="124">
        <v>500</v>
      </c>
      <c r="R63" s="124"/>
      <c r="S63" s="125">
        <f t="shared" si="39"/>
        <v>5180.1315253526491</v>
      </c>
    </row>
    <row r="64" spans="1:29">
      <c r="A64">
        <f>+A63+1</f>
        <v>3</v>
      </c>
      <c r="B64" s="95" t="s">
        <v>20</v>
      </c>
      <c r="C64" s="92" t="s">
        <v>23</v>
      </c>
      <c r="D64" s="93" t="s">
        <v>64</v>
      </c>
      <c r="E64" s="88" t="s">
        <v>65</v>
      </c>
      <c r="F64" s="89">
        <v>1</v>
      </c>
      <c r="G64" s="124">
        <v>24441</v>
      </c>
      <c r="H64" s="124">
        <v>8493</v>
      </c>
      <c r="I64" s="124">
        <f t="shared" si="33"/>
        <v>28595.969999999998</v>
      </c>
      <c r="J64" s="124">
        <f t="shared" si="33"/>
        <v>9936.81</v>
      </c>
      <c r="K64" s="124">
        <f t="shared" si="34"/>
        <v>4154.9699999999975</v>
      </c>
      <c r="L64" s="124">
        <f t="shared" si="34"/>
        <v>1443.8099999999995</v>
      </c>
      <c r="M64" s="124">
        <f t="shared" si="35"/>
        <v>5598.779999999997</v>
      </c>
      <c r="N64" s="124">
        <f t="shared" si="36"/>
        <v>466.37837399999972</v>
      </c>
      <c r="O64" s="124">
        <f t="shared" si="37"/>
        <v>6065.1583739999969</v>
      </c>
      <c r="P64" s="124">
        <f t="shared" si="38"/>
        <v>3457.1402731799981</v>
      </c>
      <c r="Q64" s="124">
        <v>500</v>
      </c>
      <c r="R64" s="124"/>
      <c r="S64" s="125">
        <f t="shared" si="39"/>
        <v>10022.298647179996</v>
      </c>
    </row>
    <row r="65" spans="1:27">
      <c r="A65">
        <f>+A64+1</f>
        <v>4</v>
      </c>
      <c r="B65" s="95" t="s">
        <v>20</v>
      </c>
      <c r="C65" s="92" t="s">
        <v>26</v>
      </c>
      <c r="D65" s="93" t="s">
        <v>64</v>
      </c>
      <c r="E65" s="88" t="s">
        <v>65</v>
      </c>
      <c r="F65" s="89">
        <v>1</v>
      </c>
      <c r="G65" s="124">
        <v>14419</v>
      </c>
      <c r="H65" s="124">
        <v>4962</v>
      </c>
      <c r="I65" s="124">
        <f t="shared" si="33"/>
        <v>16870.23</v>
      </c>
      <c r="J65" s="124">
        <f t="shared" si="33"/>
        <v>5805.54</v>
      </c>
      <c r="K65" s="124">
        <f t="shared" si="34"/>
        <v>2451.2299999999996</v>
      </c>
      <c r="L65" s="124">
        <f t="shared" si="34"/>
        <v>843.54</v>
      </c>
      <c r="M65" s="124">
        <f t="shared" si="35"/>
        <v>3294.7699999999995</v>
      </c>
      <c r="N65" s="124">
        <f t="shared" si="36"/>
        <v>274.45434099999994</v>
      </c>
      <c r="O65" s="124">
        <f t="shared" si="37"/>
        <v>3569.2243409999996</v>
      </c>
      <c r="P65" s="124">
        <f t="shared" si="38"/>
        <v>2034.4578743699997</v>
      </c>
      <c r="Q65" s="124">
        <v>500</v>
      </c>
      <c r="R65" s="124"/>
      <c r="S65" s="125">
        <f t="shared" si="39"/>
        <v>6103.6822153699995</v>
      </c>
    </row>
    <row r="66" spans="1:27">
      <c r="A66">
        <f>+A65+1</f>
        <v>5</v>
      </c>
      <c r="B66" s="95" t="s">
        <v>54</v>
      </c>
      <c r="C66" s="92" t="s">
        <v>55</v>
      </c>
      <c r="D66" s="93" t="s">
        <v>64</v>
      </c>
      <c r="E66" s="88" t="s">
        <v>65</v>
      </c>
      <c r="F66" s="89">
        <v>1</v>
      </c>
      <c r="G66" s="124">
        <v>21560</v>
      </c>
      <c r="H66" s="124">
        <v>8492</v>
      </c>
      <c r="I66" s="124">
        <f t="shared" si="33"/>
        <v>25225.199999999997</v>
      </c>
      <c r="J66" s="124">
        <f t="shared" si="33"/>
        <v>9935.64</v>
      </c>
      <c r="K66" s="124">
        <f t="shared" si="34"/>
        <v>3665.1999999999971</v>
      </c>
      <c r="L66" s="124">
        <f t="shared" si="34"/>
        <v>1443.6399999999994</v>
      </c>
      <c r="M66" s="124">
        <f t="shared" si="35"/>
        <v>5108.8399999999965</v>
      </c>
      <c r="N66" s="124">
        <f t="shared" si="36"/>
        <v>425.56637199999972</v>
      </c>
      <c r="O66" s="124">
        <f t="shared" si="37"/>
        <v>5534.4063719999958</v>
      </c>
      <c r="P66" s="124">
        <f t="shared" si="38"/>
        <v>3154.6116320399974</v>
      </c>
      <c r="Q66" s="124">
        <v>500</v>
      </c>
      <c r="R66" s="124"/>
      <c r="S66" s="125">
        <f t="shared" si="39"/>
        <v>9189.0180040399937</v>
      </c>
    </row>
    <row r="67" spans="1:27" ht="15.75" thickBot="1">
      <c r="A67">
        <f>+A66+1</f>
        <v>6</v>
      </c>
      <c r="B67" s="94" t="s">
        <v>48</v>
      </c>
      <c r="C67" s="94" t="s">
        <v>13</v>
      </c>
      <c r="D67" s="94" t="s">
        <v>64</v>
      </c>
      <c r="E67" s="90" t="s">
        <v>65</v>
      </c>
      <c r="F67" s="91">
        <v>1</v>
      </c>
      <c r="G67" s="124">
        <v>20244</v>
      </c>
      <c r="H67" s="124">
        <v>7393.02</v>
      </c>
      <c r="I67" s="124">
        <f t="shared" si="33"/>
        <v>23685.48</v>
      </c>
      <c r="J67" s="124">
        <f t="shared" si="33"/>
        <v>8649.8333999999995</v>
      </c>
      <c r="K67" s="124">
        <f t="shared" si="34"/>
        <v>3441.4799999999996</v>
      </c>
      <c r="L67" s="124">
        <f t="shared" si="34"/>
        <v>1256.8133999999991</v>
      </c>
      <c r="M67" s="124">
        <f t="shared" si="35"/>
        <v>4698.2933999999987</v>
      </c>
      <c r="N67" s="124">
        <f t="shared" si="36"/>
        <v>391.36784021999989</v>
      </c>
      <c r="O67" s="124">
        <f t="shared" si="37"/>
        <v>5089.6612402199989</v>
      </c>
      <c r="P67" s="124">
        <f t="shared" si="38"/>
        <v>2901.106906925399</v>
      </c>
      <c r="Q67" s="124">
        <v>500</v>
      </c>
      <c r="R67" s="115"/>
      <c r="S67" s="125">
        <f t="shared" si="39"/>
        <v>8490.768147145398</v>
      </c>
    </row>
    <row r="68" spans="1:27" ht="15.75" thickBot="1">
      <c r="B68" s="142" t="s">
        <v>60</v>
      </c>
      <c r="C68" s="143"/>
      <c r="G68" s="99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1"/>
      <c r="S68" s="126">
        <f>SUM(S62:S67)</f>
        <v>44166.030064440682</v>
      </c>
    </row>
    <row r="70" spans="1:27">
      <c r="F70" s="83"/>
    </row>
    <row r="71" spans="1:27">
      <c r="F71" s="83"/>
      <c r="H71" s="113" t="s">
        <v>85</v>
      </c>
    </row>
    <row r="72" spans="1:27">
      <c r="B72" s="108" t="s">
        <v>127</v>
      </c>
      <c r="C72" s="109"/>
      <c r="D72" s="109"/>
      <c r="E72" s="109"/>
      <c r="F72" s="110"/>
      <c r="G72" s="111"/>
      <c r="H72" s="127">
        <f>+AB28</f>
        <v>105187.20928175084</v>
      </c>
    </row>
    <row r="73" spans="1:27">
      <c r="B73" s="108" t="s">
        <v>138</v>
      </c>
      <c r="C73" s="109"/>
      <c r="D73" s="109"/>
      <c r="E73" s="109"/>
      <c r="F73" s="109"/>
      <c r="G73" s="112"/>
      <c r="H73" s="128">
        <f>+AB38</f>
        <v>7670.2859612656484</v>
      </c>
    </row>
    <row r="74" spans="1:27">
      <c r="B74" s="108" t="s">
        <v>126</v>
      </c>
      <c r="C74" s="109"/>
      <c r="D74" s="109"/>
      <c r="E74" s="109"/>
      <c r="F74" s="109"/>
      <c r="G74" s="112"/>
      <c r="H74" s="128">
        <f>+AC55</f>
        <v>40610.889096434803</v>
      </c>
    </row>
    <row r="75" spans="1:27">
      <c r="B75" s="108" t="s">
        <v>125</v>
      </c>
      <c r="C75" s="109"/>
      <c r="D75" s="109"/>
      <c r="E75" s="109"/>
      <c r="F75" s="109"/>
      <c r="G75" s="112"/>
      <c r="H75" s="129">
        <f>+S68</f>
        <v>44166.030064440682</v>
      </c>
    </row>
    <row r="76" spans="1:27">
      <c r="G76" s="113" t="s">
        <v>85</v>
      </c>
      <c r="H76" s="129">
        <f>SUM(H72:H75)</f>
        <v>197634.41440389198</v>
      </c>
      <c r="I76" s="79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19"/>
      <c r="V76" s="19"/>
      <c r="W76" s="19"/>
      <c r="X76" s="19"/>
      <c r="Y76" s="19"/>
      <c r="Z76" s="20"/>
      <c r="AA76" s="21"/>
    </row>
    <row r="77" spans="1:27">
      <c r="H77" s="79"/>
      <c r="I77" s="79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19"/>
      <c r="V77" s="19"/>
      <c r="W77" s="19"/>
      <c r="X77" s="19"/>
      <c r="Y77" s="19"/>
      <c r="Z77" s="20"/>
      <c r="AA77" s="21"/>
    </row>
    <row r="78" spans="1:27" ht="15.75" hidden="1" thickTop="1">
      <c r="D78" s="33" t="s">
        <v>93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5"/>
    </row>
    <row r="79" spans="1:27" ht="15.75" hidden="1" thickBot="1">
      <c r="D79" s="36"/>
      <c r="E79" s="37"/>
      <c r="F79" s="38"/>
      <c r="G79" s="38"/>
      <c r="H79" s="39"/>
      <c r="I79" s="38"/>
      <c r="J79" s="38"/>
      <c r="K79" s="38"/>
      <c r="L79" s="38"/>
      <c r="M79" s="40"/>
      <c r="N79" s="40"/>
      <c r="O79" s="40"/>
      <c r="P79" s="41"/>
    </row>
    <row r="80" spans="1:27" ht="15.75" hidden="1" thickBot="1">
      <c r="D80" s="36"/>
      <c r="E80" s="42" t="s">
        <v>94</v>
      </c>
      <c r="F80" s="43" t="s">
        <v>95</v>
      </c>
      <c r="G80" s="38"/>
      <c r="H80" s="44" t="s">
        <v>96</v>
      </c>
      <c r="I80" s="45" t="s">
        <v>97</v>
      </c>
      <c r="J80" s="46" t="s">
        <v>98</v>
      </c>
      <c r="K80" s="46" t="s">
        <v>99</v>
      </c>
      <c r="L80" s="46" t="s">
        <v>100</v>
      </c>
      <c r="M80" s="46" t="s">
        <v>101</v>
      </c>
      <c r="N80" s="47" t="s">
        <v>94</v>
      </c>
      <c r="O80" s="43" t="s">
        <v>95</v>
      </c>
      <c r="P80" s="48"/>
    </row>
    <row r="81" spans="4:16" ht="15.75" hidden="1" thickBot="1">
      <c r="D81" s="36"/>
      <c r="E81" s="49" t="s">
        <v>102</v>
      </c>
      <c r="F81" s="50">
        <f>+O81*(1+$F$9)*1.17</f>
        <v>4984.2</v>
      </c>
      <c r="G81" s="38"/>
      <c r="H81" s="51">
        <v>41</v>
      </c>
      <c r="I81" s="52">
        <f>H81*1.35*1.17</f>
        <v>64.759500000000003</v>
      </c>
      <c r="J81" s="53">
        <v>129</v>
      </c>
      <c r="K81" s="54">
        <v>36</v>
      </c>
      <c r="L81" s="55">
        <f>215.71/1.2*1.27*1.1</f>
        <v>251.12239166666672</v>
      </c>
      <c r="M81" s="56">
        <v>1735</v>
      </c>
      <c r="N81" s="49" t="s">
        <v>102</v>
      </c>
      <c r="O81" s="50">
        <v>2130</v>
      </c>
      <c r="P81" s="48"/>
    </row>
    <row r="82" spans="4:16" ht="15.75" hidden="1" thickBot="1">
      <c r="D82" s="36"/>
      <c r="E82" s="49" t="s">
        <v>103</v>
      </c>
      <c r="F82" s="50">
        <f t="shared" ref="F82:F93" si="40">+O82*(1+$F$9)*1.17</f>
        <v>5082.4799999999996</v>
      </c>
      <c r="G82" s="38"/>
      <c r="H82" s="57"/>
      <c r="I82" s="57"/>
      <c r="J82" s="57"/>
      <c r="K82" s="57"/>
      <c r="L82" s="57"/>
      <c r="M82" s="37"/>
      <c r="N82" s="49" t="s">
        <v>103</v>
      </c>
      <c r="O82" s="50">
        <v>2172</v>
      </c>
      <c r="P82" s="48"/>
    </row>
    <row r="83" spans="4:16" ht="15.75" hidden="1" thickBot="1">
      <c r="D83" s="36"/>
      <c r="E83" s="49" t="s">
        <v>104</v>
      </c>
      <c r="F83" s="50">
        <f t="shared" si="40"/>
        <v>5194.7999999999993</v>
      </c>
      <c r="G83" s="38"/>
      <c r="H83" s="44" t="s">
        <v>74</v>
      </c>
      <c r="I83" s="58" t="s">
        <v>105</v>
      </c>
      <c r="J83" s="46" t="s">
        <v>76</v>
      </c>
      <c r="K83" s="59" t="s">
        <v>106</v>
      </c>
      <c r="L83" s="59" t="s">
        <v>107</v>
      </c>
      <c r="M83" s="59" t="s">
        <v>108</v>
      </c>
      <c r="N83" s="49" t="s">
        <v>104</v>
      </c>
      <c r="O83" s="50">
        <v>2220</v>
      </c>
      <c r="P83" s="60"/>
    </row>
    <row r="84" spans="4:16" ht="15.75" hidden="1" thickBot="1">
      <c r="D84" s="36"/>
      <c r="E84" s="49" t="s">
        <v>109</v>
      </c>
      <c r="F84" s="50">
        <f t="shared" si="40"/>
        <v>5337.54</v>
      </c>
      <c r="G84" s="38"/>
      <c r="H84" s="51">
        <v>41</v>
      </c>
      <c r="I84" s="61">
        <v>0.35</v>
      </c>
      <c r="J84" s="51">
        <v>972</v>
      </c>
      <c r="K84" s="51">
        <v>972</v>
      </c>
      <c r="L84" s="62">
        <v>696</v>
      </c>
      <c r="M84" s="62">
        <v>420</v>
      </c>
      <c r="N84" s="49" t="s">
        <v>109</v>
      </c>
      <c r="O84" s="50">
        <v>2281</v>
      </c>
      <c r="P84" s="60"/>
    </row>
    <row r="85" spans="4:16" hidden="1">
      <c r="D85" s="36"/>
      <c r="E85" s="49" t="s">
        <v>110</v>
      </c>
      <c r="F85" s="50">
        <f t="shared" si="40"/>
        <v>5468.58</v>
      </c>
      <c r="G85" s="38"/>
      <c r="H85" s="37"/>
      <c r="I85" s="37"/>
      <c r="J85" s="37"/>
      <c r="K85" s="37"/>
      <c r="L85" s="37"/>
      <c r="M85" s="57"/>
      <c r="N85" s="49" t="s">
        <v>110</v>
      </c>
      <c r="O85" s="50">
        <v>2337</v>
      </c>
      <c r="P85" s="63"/>
    </row>
    <row r="86" spans="4:16" hidden="1">
      <c r="D86" s="36"/>
      <c r="E86" s="49" t="s">
        <v>111</v>
      </c>
      <c r="F86" s="50">
        <f t="shared" si="40"/>
        <v>5625.36</v>
      </c>
      <c r="G86" s="38"/>
      <c r="H86" s="57"/>
      <c r="I86" s="64"/>
      <c r="J86" s="65"/>
      <c r="K86" s="65"/>
      <c r="L86" s="65"/>
      <c r="M86" s="57"/>
      <c r="N86" s="49" t="s">
        <v>111</v>
      </c>
      <c r="O86" s="50">
        <v>2404</v>
      </c>
      <c r="P86" s="63"/>
    </row>
    <row r="87" spans="4:16" hidden="1">
      <c r="D87" s="36"/>
      <c r="E87" s="49" t="s">
        <v>112</v>
      </c>
      <c r="F87" s="50">
        <f t="shared" si="40"/>
        <v>5845.32</v>
      </c>
      <c r="G87" s="38"/>
      <c r="H87" s="57"/>
      <c r="I87" s="64"/>
      <c r="J87" s="66"/>
      <c r="K87" s="66"/>
      <c r="L87" s="66"/>
      <c r="M87" s="57"/>
      <c r="N87" s="49" t="s">
        <v>112</v>
      </c>
      <c r="O87" s="50">
        <v>2498</v>
      </c>
      <c r="P87" s="63"/>
    </row>
    <row r="88" spans="4:16" hidden="1">
      <c r="D88" s="36"/>
      <c r="E88" s="49" t="s">
        <v>113</v>
      </c>
      <c r="F88" s="50">
        <f t="shared" si="40"/>
        <v>6086.3399999999992</v>
      </c>
      <c r="G88" s="38"/>
      <c r="H88" s="57"/>
      <c r="I88" s="57"/>
      <c r="J88" s="57"/>
      <c r="K88" s="57"/>
      <c r="L88" s="57"/>
      <c r="M88" s="57"/>
      <c r="N88" s="49" t="s">
        <v>113</v>
      </c>
      <c r="O88" s="50">
        <v>2601</v>
      </c>
      <c r="P88" s="63"/>
    </row>
    <row r="89" spans="4:16" hidden="1">
      <c r="D89" s="36"/>
      <c r="E89" s="49" t="s">
        <v>114</v>
      </c>
      <c r="F89" s="50">
        <f t="shared" si="40"/>
        <v>6425.6399999999994</v>
      </c>
      <c r="G89" s="38"/>
      <c r="H89" s="40"/>
      <c r="I89" s="40"/>
      <c r="J89" s="40"/>
      <c r="K89" s="40"/>
      <c r="L89" s="40"/>
      <c r="M89" s="40"/>
      <c r="N89" s="49" t="s">
        <v>114</v>
      </c>
      <c r="O89" s="50">
        <v>2746</v>
      </c>
      <c r="P89" s="63"/>
    </row>
    <row r="90" spans="4:16" hidden="1">
      <c r="D90" s="36"/>
      <c r="E90" s="49" t="s">
        <v>115</v>
      </c>
      <c r="F90" s="50">
        <f t="shared" si="40"/>
        <v>6907.6799999999994</v>
      </c>
      <c r="G90" s="38"/>
      <c r="H90" s="65"/>
      <c r="I90" s="65"/>
      <c r="J90" s="67"/>
      <c r="K90" s="65"/>
      <c r="L90" s="68"/>
      <c r="M90" s="65"/>
      <c r="N90" s="49" t="s">
        <v>115</v>
      </c>
      <c r="O90" s="50">
        <v>2952</v>
      </c>
      <c r="P90" s="63"/>
    </row>
    <row r="91" spans="4:16" hidden="1">
      <c r="D91" s="36"/>
      <c r="E91" s="49" t="s">
        <v>116</v>
      </c>
      <c r="F91" s="50">
        <f t="shared" si="40"/>
        <v>7328.8799999999992</v>
      </c>
      <c r="G91" s="38"/>
      <c r="H91" s="69"/>
      <c r="I91" s="69"/>
      <c r="J91" s="70"/>
      <c r="K91" s="71"/>
      <c r="L91" s="71"/>
      <c r="M91" s="69"/>
      <c r="N91" s="49" t="s">
        <v>116</v>
      </c>
      <c r="O91" s="50">
        <v>3132</v>
      </c>
      <c r="P91" s="63"/>
    </row>
    <row r="92" spans="4:16" hidden="1">
      <c r="D92" s="36"/>
      <c r="E92" s="49" t="s">
        <v>117</v>
      </c>
      <c r="F92" s="50">
        <f t="shared" si="40"/>
        <v>7733.7</v>
      </c>
      <c r="G92" s="38"/>
      <c r="H92" s="69"/>
      <c r="I92" s="69"/>
      <c r="J92" s="70"/>
      <c r="K92" s="71"/>
      <c r="L92" s="71"/>
      <c r="M92" s="69"/>
      <c r="N92" s="49" t="s">
        <v>117</v>
      </c>
      <c r="O92" s="50">
        <v>3305</v>
      </c>
      <c r="P92" s="63"/>
    </row>
    <row r="93" spans="4:16" ht="15.75" hidden="1" thickBot="1">
      <c r="D93" s="36"/>
      <c r="E93" s="72" t="s">
        <v>118</v>
      </c>
      <c r="F93" s="50">
        <f t="shared" si="40"/>
        <v>8119.7999999999993</v>
      </c>
      <c r="G93" s="38"/>
      <c r="H93" s="69"/>
      <c r="I93" s="69"/>
      <c r="J93" s="70"/>
      <c r="K93" s="71"/>
      <c r="L93" s="71"/>
      <c r="M93" s="69"/>
      <c r="N93" s="72" t="s">
        <v>118</v>
      </c>
      <c r="O93" s="73">
        <v>3470</v>
      </c>
      <c r="P93" s="63"/>
    </row>
    <row r="94" spans="4:16" ht="15.75" hidden="1" thickBot="1">
      <c r="D94" s="74"/>
      <c r="E94" s="75"/>
      <c r="F94" s="76"/>
      <c r="G94" s="76"/>
      <c r="H94" s="75"/>
      <c r="I94" s="75"/>
      <c r="J94" s="75"/>
      <c r="K94" s="75"/>
      <c r="L94" s="75"/>
      <c r="M94" s="75"/>
      <c r="N94" s="75"/>
      <c r="O94" s="75"/>
      <c r="P94" s="77"/>
    </row>
    <row r="95" spans="4:16" ht="15.75" hidden="1" thickTop="1"/>
    <row r="96" spans="4:16" hidden="1"/>
  </sheetData>
  <mergeCells count="16">
    <mergeCell ref="B68:C68"/>
    <mergeCell ref="B3:C3"/>
    <mergeCell ref="E3:E4"/>
    <mergeCell ref="F3:F4"/>
    <mergeCell ref="B32:C33"/>
    <mergeCell ref="E33:E34"/>
    <mergeCell ref="F33:F34"/>
    <mergeCell ref="B42:C43"/>
    <mergeCell ref="B28:C28"/>
    <mergeCell ref="B59:C60"/>
    <mergeCell ref="E60:E61"/>
    <mergeCell ref="F60:F61"/>
    <mergeCell ref="E43:E44"/>
    <mergeCell ref="F43:F44"/>
    <mergeCell ref="B38:C38"/>
    <mergeCell ref="B55:C5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7" sqref="C7:C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Mayo 2014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smendicoa</dc:creator>
  <cp:lastModifiedBy>fgordo</cp:lastModifiedBy>
  <dcterms:created xsi:type="dcterms:W3CDTF">2014-01-16T17:02:42Z</dcterms:created>
  <dcterms:modified xsi:type="dcterms:W3CDTF">2014-06-18T19:25:56Z</dcterms:modified>
</cp:coreProperties>
</file>